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NetWorthOverzicht - De Geldvrie" sheetId="1" r:id="rId4"/>
    <sheet name="NetWorthOverzicht - Annualized " sheetId="2" r:id="rId5"/>
    <sheet name="NetWorthOverzicht - Drawings" sheetId="3" r:id="rId6"/>
  </sheets>
</workbook>
</file>

<file path=xl/comments1.xml><?xml version="1.0" encoding="utf-8"?>
<comments xmlns="http://schemas.openxmlformats.org/spreadsheetml/2006/main">
  <authors>
    <author>Imported Author</author>
  </authors>
  <commentList>
    <comment ref="Q2" authorId="0">
      <text>
        <r>
          <rPr>
            <sz val="11"/>
            <color indexed="8"/>
            <rFont val="Helvetica Neue"/>
          </rPr>
          <t>Imported Author:
Dit is exclusief de spaarrekening, want die inleg telt niet mee voor de grafiek 'investeringen versus inleg'</t>
        </r>
      </text>
    </comment>
  </commentList>
</comments>
</file>

<file path=xl/comments2.xml><?xml version="1.0" encoding="utf-8"?>
<comments xmlns="http://schemas.openxmlformats.org/spreadsheetml/2006/main">
  <authors>
    <author>Thijs van Bruxvoort</author>
  </authors>
  <commentList>
    <comment ref="B63" authorId="0">
      <text>
        <r>
          <rPr>
            <sz val="11"/>
            <color indexed="8"/>
            <rFont val="Helvetica Neue"/>
          </rPr>
          <t>Thijs van Bruxvoort:
Datum = vandaag. Voorbeeld rekent met einde 2021. Maar dit is huidige stand van zaken dus.</t>
        </r>
      </text>
    </comment>
  </commentList>
</comments>
</file>

<file path=xl/sharedStrings.xml><?xml version="1.0" encoding="utf-8"?>
<sst xmlns="http://schemas.openxmlformats.org/spreadsheetml/2006/main" uniqueCount="31">
  <si>
    <t>De Geldvrienden - Nettowaarde Tracker v1</t>
  </si>
  <si>
    <t>Datum</t>
  </si>
  <si>
    <t>Lopende rekeningen</t>
  </si>
  <si>
    <t>Spaarrekeningen</t>
  </si>
  <si>
    <t>Cash/Overig</t>
  </si>
  <si>
    <t>Totaal Cash</t>
  </si>
  <si>
    <t>Huis (WOZ)</t>
  </si>
  <si>
    <t>Overig</t>
  </si>
  <si>
    <t>TotaalAssets</t>
  </si>
  <si>
    <t>Broker 1</t>
  </si>
  <si>
    <t>Broker 2</t>
  </si>
  <si>
    <t>Broker 3</t>
  </si>
  <si>
    <t>Pensioen (pijler 3)</t>
  </si>
  <si>
    <t>Totaal Beleggingen (+pijler 3)</t>
  </si>
  <si>
    <t>Inleg Pensioen (pijler 3)</t>
  </si>
  <si>
    <t>Inleg beleggen</t>
  </si>
  <si>
    <t>Inleg sparen</t>
  </si>
  <si>
    <t>Inleg investeringen Maand</t>
  </si>
  <si>
    <t xml:space="preserve">Inleg Cumulatief
</t>
  </si>
  <si>
    <t>Creditcard</t>
  </si>
  <si>
    <t>Hypotheek</t>
  </si>
  <si>
    <t>Studieschuld</t>
  </si>
  <si>
    <t>Overig Lening</t>
  </si>
  <si>
    <t>Total Liabilities</t>
  </si>
  <si>
    <t>Total Assets</t>
  </si>
  <si>
    <t>Nettowaarde</t>
  </si>
  <si>
    <t>-</t>
  </si>
  <si>
    <t>Annualized Internal Rate of Return</t>
  </si>
  <si>
    <t>Investering</t>
  </si>
  <si>
    <t>Note</t>
  </si>
  <si>
    <t>Gemiddeld rendement (XIRR)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</si>
</sst>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mmmm yyyy"/>
    <numFmt numFmtId="60" formatCode="[$€-2]&quot; &quot;#,##0.00"/>
    <numFmt numFmtId="61" formatCode="[$€-2] #,##0.00"/>
    <numFmt numFmtId="62" formatCode="d mmm yyyy"/>
    <numFmt numFmtId="63" formatCode="0.0#%"/>
    <numFmt numFmtId="64" formatCode="[$€-2]#,##0.00"/>
  </numFmts>
  <fonts count="17">
    <font>
      <sz val="10"/>
      <color indexed="8"/>
      <name val="Arial"/>
    </font>
    <font>
      <sz val="12"/>
      <color indexed="8"/>
      <name val="Helvetica Neue"/>
    </font>
    <font>
      <b val="1"/>
      <sz val="14"/>
      <color indexed="8"/>
      <name val="Helvetica Neue"/>
    </font>
    <font>
      <b val="1"/>
      <sz val="10"/>
      <color indexed="8"/>
      <name val="Arial"/>
    </font>
    <font>
      <b val="1"/>
      <i val="1"/>
      <sz val="10"/>
      <color indexed="8"/>
      <name val="Arial"/>
    </font>
    <font>
      <sz val="11"/>
      <color indexed="8"/>
      <name val="Helvetica Neue"/>
    </font>
    <font>
      <i val="1"/>
      <sz val="10"/>
      <color indexed="12"/>
      <name val="Arial"/>
    </font>
    <font>
      <sz val="10"/>
      <color indexed="12"/>
      <name val="Arial"/>
    </font>
    <font>
      <b val="1"/>
      <sz val="12"/>
      <color indexed="8"/>
      <name val="Arial"/>
    </font>
    <font>
      <sz val="10"/>
      <color indexed="8"/>
      <name val="Helvetica Neue"/>
    </font>
    <font>
      <b val="1"/>
      <sz val="12"/>
      <color indexed="8"/>
      <name val="Helvetica Neue"/>
    </font>
    <font>
      <sz val="12"/>
      <color indexed="10"/>
      <name val="Helvetica Neue"/>
    </font>
    <font>
      <b val="1"/>
      <sz val="12"/>
      <color indexed="10"/>
      <name val="Helvetica Neue"/>
    </font>
    <font>
      <sz val="10"/>
      <color indexed="8"/>
      <name val="Helvetica Neue Medium"/>
    </font>
    <font>
      <sz val="16"/>
      <color indexed="10"/>
      <name val="Helvetica Neue Medium"/>
    </font>
    <font>
      <b val="1"/>
      <sz val="21"/>
      <color indexed="10"/>
      <name val="Helvetica Neue"/>
    </font>
    <font>
      <sz val="11"/>
      <color indexed="8"/>
      <name val="Helvetica Neue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/>
      <bottom/>
      <diagonal/>
    </border>
    <border>
      <left style="thin">
        <color indexed="14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4"/>
      </right>
      <top style="thin">
        <color indexed="14"/>
      </top>
      <bottom/>
      <diagonal/>
    </border>
    <border>
      <left/>
      <right/>
      <top/>
      <bottom/>
      <diagonal/>
    </border>
    <border>
      <left style="thin">
        <color indexed="14"/>
      </left>
      <right/>
      <top/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1">
    <xf numFmtId="0" fontId="0" applyNumberFormat="0" applyFont="1" applyFill="0" applyBorder="0" applyAlignment="1" applyProtection="0">
      <alignment vertical="bottom" wrapText="1"/>
    </xf>
  </cellStyleXfs>
  <cellXfs count="38">
    <xf numFmtId="0" fontId="0" applyNumberFormat="0" applyFont="1" applyFill="0" applyBorder="0" applyAlignment="1" applyProtection="0">
      <alignment vertical="bottom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vertical="top" wrapText="1"/>
    </xf>
    <xf numFmtId="49" fontId="4" fillId="2" borderId="1" applyNumberFormat="1" applyFont="1" applyFill="1" applyBorder="1" applyAlignment="1" applyProtection="0">
      <alignment vertical="top" wrapText="1"/>
    </xf>
    <xf numFmtId="49" fontId="0" fillId="2" borderId="1" applyNumberFormat="1" applyFont="1" applyFill="1" applyBorder="1" applyAlignment="1" applyProtection="0">
      <alignment vertical="top" wrapText="1"/>
    </xf>
    <xf numFmtId="59" fontId="0" fillId="3" borderId="1" applyNumberFormat="1" applyFont="1" applyFill="1" applyBorder="1" applyAlignment="1" applyProtection="0">
      <alignment vertical="top" wrapText="1"/>
    </xf>
    <xf numFmtId="60" fontId="0" fillId="3" borderId="1" applyNumberFormat="1" applyFont="1" applyFill="1" applyBorder="1" applyAlignment="1" applyProtection="0">
      <alignment vertical="top" wrapText="1"/>
    </xf>
    <xf numFmtId="60" fontId="6" fillId="3" borderId="1" applyNumberFormat="1" applyFont="1" applyFill="1" applyBorder="1" applyAlignment="1" applyProtection="0">
      <alignment vertical="top" wrapText="1"/>
    </xf>
    <xf numFmtId="60" fontId="7" fillId="3" borderId="1" applyNumberFormat="1" applyFont="1" applyFill="1" applyBorder="1" applyAlignment="1" applyProtection="0">
      <alignment vertical="top" wrapText="1"/>
    </xf>
    <xf numFmtId="49" fontId="0" fillId="3" borderId="1" applyNumberFormat="1" applyFont="1" applyFill="1" applyBorder="1" applyAlignment="1" applyProtection="0">
      <alignment vertical="top" wrapText="1"/>
    </xf>
    <xf numFmtId="60" fontId="8" fillId="3" borderId="1" applyNumberFormat="1" applyFont="1" applyFill="1" applyBorder="1" applyAlignment="1" applyProtection="0">
      <alignment vertical="top" wrapText="1"/>
    </xf>
    <xf numFmtId="59" fontId="0" fillId="2" borderId="1" applyNumberFormat="1" applyFont="1" applyFill="1" applyBorder="1" applyAlignment="1" applyProtection="0">
      <alignment vertical="top" wrapText="1"/>
    </xf>
    <xf numFmtId="60" fontId="0" fillId="2" borderId="1" applyNumberFormat="1" applyFont="1" applyFill="1" applyBorder="1" applyAlignment="1" applyProtection="0">
      <alignment vertical="top" wrapText="1"/>
    </xf>
    <xf numFmtId="60" fontId="6" fillId="2" borderId="1" applyNumberFormat="1" applyFont="1" applyFill="1" applyBorder="1" applyAlignment="1" applyProtection="0">
      <alignment vertical="top" wrapText="1"/>
    </xf>
    <xf numFmtId="60" fontId="7" fillId="2" borderId="1" applyNumberFormat="1" applyFont="1" applyFill="1" applyBorder="1" applyAlignment="1" applyProtection="0">
      <alignment vertical="top" wrapText="1"/>
    </xf>
    <xf numFmtId="60" fontId="8" fillId="2" borderId="1" applyNumberFormat="1" applyFont="1" applyFill="1" applyBorder="1" applyAlignment="1" applyProtection="0">
      <alignment vertical="top" wrapText="1"/>
    </xf>
    <xf numFmtId="0" fontId="9" applyNumberFormat="1" applyFont="1" applyFill="0" applyBorder="0" applyAlignment="1" applyProtection="0">
      <alignment vertical="top" wrapText="1"/>
    </xf>
    <xf numFmtId="0" fontId="10" applyNumberFormat="0" applyFont="1" applyFill="0" applyBorder="0" applyAlignment="1" applyProtection="0">
      <alignment horizontal="center" vertical="center"/>
    </xf>
    <xf numFmtId="49" fontId="11" fillId="4" borderId="2" applyNumberFormat="1" applyFont="1" applyFill="1" applyBorder="1" applyAlignment="1" applyProtection="0">
      <alignment horizontal="center" vertical="center" wrapText="1"/>
    </xf>
    <xf numFmtId="49" fontId="12" fillId="4" borderId="3" applyNumberFormat="1" applyFont="1" applyFill="1" applyBorder="1" applyAlignment="1" applyProtection="0">
      <alignment horizontal="center" vertical="center" wrapText="1"/>
    </xf>
    <xf numFmtId="49" fontId="12" fillId="4" borderId="4" applyNumberFormat="1" applyFont="1" applyFill="1" applyBorder="1" applyAlignment="1" applyProtection="0">
      <alignment horizontal="center" vertical="center" wrapText="1"/>
    </xf>
    <xf numFmtId="61" fontId="13" fillId="5" borderId="5" applyNumberFormat="1" applyFont="1" applyFill="1" applyBorder="1" applyAlignment="1" applyProtection="0">
      <alignment vertical="bottom" wrapText="1"/>
    </xf>
    <xf numFmtId="59" fontId="9" fillId="6" borderId="3" applyNumberFormat="1" applyFont="1" applyFill="1" applyBorder="1" applyAlignment="1" applyProtection="0">
      <alignment vertical="top" wrapText="1"/>
    </xf>
    <xf numFmtId="0" fontId="9" fillId="6" borderId="4" applyNumberFormat="0" applyFont="1" applyFill="1" applyBorder="1" applyAlignment="1" applyProtection="0">
      <alignment vertical="top" wrapText="1"/>
    </xf>
    <xf numFmtId="59" fontId="9" borderId="3" applyNumberFormat="1" applyFont="1" applyFill="0" applyBorder="1" applyAlignment="1" applyProtection="0">
      <alignment vertical="top" wrapText="1"/>
    </xf>
    <xf numFmtId="0" fontId="9" borderId="4" applyNumberFormat="0" applyFont="1" applyFill="0" applyBorder="1" applyAlignment="1" applyProtection="0">
      <alignment vertical="top" wrapText="1"/>
    </xf>
    <xf numFmtId="61" fontId="13" fillId="5" borderId="6" applyNumberFormat="1" applyFont="1" applyFill="1" applyBorder="1" applyAlignment="1" applyProtection="0">
      <alignment vertical="bottom" wrapText="1"/>
    </xf>
    <xf numFmtId="59" fontId="9" fillId="6" borderId="7" applyNumberFormat="1" applyFont="1" applyFill="1" applyBorder="1" applyAlignment="1" applyProtection="0">
      <alignment vertical="top" wrapText="1"/>
    </xf>
    <xf numFmtId="59" fontId="9" borderId="8" applyNumberFormat="1" applyFont="1" applyFill="0" applyBorder="1" applyAlignment="1" applyProtection="0">
      <alignment vertical="top" wrapText="1"/>
    </xf>
    <xf numFmtId="0" fontId="9" borderId="3" applyNumberFormat="0" applyFont="1" applyFill="0" applyBorder="1" applyAlignment="1" applyProtection="0">
      <alignment vertical="top" wrapText="1"/>
    </xf>
    <xf numFmtId="59" fontId="9" fillId="6" borderId="8" applyNumberFormat="1" applyFont="1" applyFill="1" applyBorder="1" applyAlignment="1" applyProtection="0">
      <alignment vertical="top" wrapText="1"/>
    </xf>
    <xf numFmtId="0" fontId="9" fillId="6" borderId="3" applyNumberFormat="0" applyFont="1" applyFill="1" applyBorder="1" applyAlignment="1" applyProtection="0">
      <alignment vertical="top" wrapText="1"/>
    </xf>
    <xf numFmtId="61" fontId="13" fillId="7" borderId="9" applyNumberFormat="1" applyFont="1" applyFill="1" applyBorder="1" applyAlignment="1" applyProtection="0">
      <alignment vertical="bottom" wrapText="1"/>
    </xf>
    <xf numFmtId="62" fontId="9" fillId="7" borderId="10" applyNumberFormat="1" applyFont="1" applyFill="1" applyBorder="1" applyAlignment="1" applyProtection="0">
      <alignment vertical="bottom" wrapText="1"/>
    </xf>
    <xf numFmtId="49" fontId="14" fillId="8" borderId="11" applyNumberFormat="1" applyFont="1" applyFill="1" applyBorder="1" applyAlignment="1" applyProtection="0">
      <alignment horizontal="center" vertical="center" wrapText="1"/>
    </xf>
    <xf numFmtId="63" fontId="15" fillId="8" borderId="12" applyNumberFormat="1" applyFont="1" applyFill="1" applyBorder="1" applyAlignment="1" applyProtection="0">
      <alignment horizontal="center" vertical="center" wrapText="1"/>
    </xf>
    <xf numFmtId="0" fontId="9" borderId="13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ed7e7"/>
      <rgbColor rgb="ffffffff"/>
      <rgbColor rgb="ffe8ecf3"/>
      <rgbColor rgb="ffa7a7a7"/>
      <rgbColor rgb="ff0075b9"/>
      <rgbColor rgb="ffc8c8c8"/>
      <rgbColor rgb="ffefefef"/>
      <rgbColor rgb="fff7f7f6"/>
      <rgbColor rgb="ff89847f"/>
      <rgbColor rgb="fffff2cc"/>
      <rgbColor rgb="ff7f7f7f"/>
      <rgbColor rgb="ff56c1fe"/>
      <rgbColor rgb="ff878787"/>
      <rgbColor rgb="fff9f9f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180" u="none">
                <a:solidFill>
                  <a:srgbClr val="000000"/>
                </a:solidFill>
                <a:latin typeface="Helvetica Neue"/>
              </a:defRPr>
            </a:pPr>
            <a:r>
              <a:rPr b="0" i="0" strike="noStrike" sz="1180" u="none">
                <a:solidFill>
                  <a:srgbClr val="000000"/>
                </a:solidFill>
                <a:latin typeface="Helvetica Neue"/>
              </a:rPr>
              <a:t>Nettowaarde ontwikkeling</a:t>
            </a:r>
          </a:p>
        </c:rich>
      </c:tx>
      <c:layout>
        <c:manualLayout>
          <c:xMode val="edge"/>
          <c:yMode val="edge"/>
          <c:x val="0.439753"/>
          <c:y val="0"/>
          <c:w val="0.120494"/>
          <c:h val="0.0648091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741112"/>
          <c:y val="0.0648091"/>
          <c:w val="0.920889"/>
          <c:h val="0.871622"/>
        </c:manualLayout>
      </c:layout>
      <c:areaChart>
        <c:grouping val="stacked"/>
        <c:varyColors val="0"/>
        <c:ser>
          <c:idx val="0"/>
          <c:order val="0"/>
          <c:tx>
            <c:v>Untitled 1</c:v>
          </c:tx>
          <c:spPr>
            <a:solidFill>
              <a:schemeClr val="accent1"/>
            </a:solidFill>
            <a:ln w="9525" cap="flat">
              <a:solidFill>
                <a:srgbClr val="F9F9F9"/>
              </a:solidFill>
              <a:prstDash val="solid"/>
              <a:round/>
            </a:ln>
            <a:effectLst/>
          </c:spPr>
          <c:dLbls>
            <c:numFmt formatCode="#,##0" sourceLinked="1"/>
            <c:txPr>
              <a:bodyPr/>
              <a:lstStyle/>
              <a:p>
                <a:pPr>
                  <a:defRPr b="0" i="0" strike="noStrike" sz="118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1"/>
              <c:pt idx="0">
                <c:v>January 2017</c:v>
              </c:pt>
              <c:pt idx="1">
                <c:v>February 2017</c:v>
              </c:pt>
              <c:pt idx="2">
                <c:v>March 2017</c:v>
              </c:pt>
              <c:pt idx="3">
                <c:v>April 2017</c:v>
              </c:pt>
              <c:pt idx="4">
                <c:v>May 2017</c:v>
              </c:pt>
              <c:pt idx="5">
                <c:v>June 2017</c:v>
              </c:pt>
              <c:pt idx="6">
                <c:v>July 2017</c:v>
              </c:pt>
              <c:pt idx="7">
                <c:v>August 2017</c:v>
              </c:pt>
              <c:pt idx="8">
                <c:v>September 2017</c:v>
              </c:pt>
              <c:pt idx="9">
                <c:v>October 2017</c:v>
              </c:pt>
              <c:pt idx="10">
                <c:v>November 2017</c:v>
              </c:pt>
              <c:pt idx="11">
                <c:v>December 2017</c:v>
              </c:pt>
              <c:pt idx="12">
                <c:v>January 2018</c:v>
              </c:pt>
              <c:pt idx="13">
                <c:v>February 2018</c:v>
              </c:pt>
              <c:pt idx="14">
                <c:v>March 2018</c:v>
              </c:pt>
              <c:pt idx="15">
                <c:v>April 2018</c:v>
              </c:pt>
              <c:pt idx="16">
                <c:v>May 2018</c:v>
              </c:pt>
              <c:pt idx="17">
                <c:v>June 2018</c:v>
              </c:pt>
              <c:pt idx="18">
                <c:v>July 2018</c:v>
              </c:pt>
              <c:pt idx="19">
                <c:v>August 2018</c:v>
              </c:pt>
              <c:pt idx="20">
                <c:v>September 2018</c:v>
              </c:pt>
              <c:pt idx="21">
                <c:v>October 2018</c:v>
              </c:pt>
              <c:pt idx="22">
                <c:v>November 2018</c:v>
              </c:pt>
              <c:pt idx="23">
                <c:v>December 2018</c:v>
              </c:pt>
              <c:pt idx="24">
                <c:v>January 2019</c:v>
              </c:pt>
              <c:pt idx="25">
                <c:v>February 2019</c:v>
              </c:pt>
              <c:pt idx="26">
                <c:v>March 2019</c:v>
              </c:pt>
              <c:pt idx="27">
                <c:v>April 2019</c:v>
              </c:pt>
              <c:pt idx="28">
                <c:v>May 2019</c:v>
              </c:pt>
              <c:pt idx="29">
                <c:v>June 2019</c:v>
              </c:pt>
              <c:pt idx="30">
                <c:v>July 2019</c:v>
              </c:pt>
              <c:pt idx="31">
                <c:v>August 2019</c:v>
              </c:pt>
              <c:pt idx="32">
                <c:v>September 2019</c:v>
              </c:pt>
              <c:pt idx="33">
                <c:v>October 2019</c:v>
              </c:pt>
              <c:pt idx="34">
                <c:v>November 2019</c:v>
              </c:pt>
              <c:pt idx="35">
                <c:v>December 2019</c:v>
              </c:pt>
              <c:pt idx="36">
                <c:v>January 2020</c:v>
              </c:pt>
              <c:pt idx="37">
                <c:v>February 2020</c:v>
              </c:pt>
              <c:pt idx="38">
                <c:v>March 2020</c:v>
              </c:pt>
              <c:pt idx="39">
                <c:v>April 2020</c:v>
              </c:pt>
              <c:pt idx="40">
                <c:v>May 2020</c:v>
              </c:pt>
              <c:pt idx="41">
                <c:v>June 2020</c:v>
              </c:pt>
              <c:pt idx="42">
                <c:v>July 2020</c:v>
              </c:pt>
              <c:pt idx="43">
                <c:v>August 2020</c:v>
              </c:pt>
              <c:pt idx="44">
                <c:v>September 2020</c:v>
              </c:pt>
              <c:pt idx="45">
                <c:v>October 2020</c:v>
              </c:pt>
              <c:pt idx="46">
                <c:v>November 2020</c:v>
              </c:pt>
              <c:pt idx="47">
                <c:v>December 2020</c:v>
              </c:pt>
              <c:pt idx="48">
                <c:v>January 2021</c:v>
              </c:pt>
              <c:pt idx="49">
                <c:v>February 2021</c:v>
              </c:pt>
              <c:pt idx="50">
                <c:v>March 2021</c:v>
              </c:pt>
              <c:pt idx="51">
                <c:v>April 2021</c:v>
              </c:pt>
              <c:pt idx="52">
                <c:v>May 2021</c:v>
              </c:pt>
              <c:pt idx="53">
                <c:v>June 2021</c:v>
              </c:pt>
              <c:pt idx="54">
                <c:v>July 2021</c:v>
              </c:pt>
              <c:pt idx="55">
                <c:v>August 2021</c:v>
              </c:pt>
              <c:pt idx="56">
                <c:v>September 2021</c:v>
              </c:pt>
              <c:pt idx="57">
                <c:v>October 2021</c:v>
              </c:pt>
              <c:pt idx="58">
                <c:v>November 2021</c:v>
              </c:pt>
              <c:pt idx="59">
                <c:v>December 2021</c:v>
              </c:pt>
              <c:pt idx="60">
                <c:v/>
              </c:pt>
            </c:strLit>
          </c:cat>
          <c:val>
            <c:numRef>
              <c:f>'NetWorthOverzicht - De Geldvrie'!$Z$2:$Z$62</c:f>
              <c:numCache>
                <c:ptCount val="60"/>
                <c:pt idx="1">
                  <c:v>-9207.000000</c:v>
                </c:pt>
                <c:pt idx="2">
                  <c:v>-10499.000000</c:v>
                </c:pt>
                <c:pt idx="3">
                  <c:v>-8067.000000</c:v>
                </c:pt>
                <c:pt idx="4">
                  <c:v>-5138.000000</c:v>
                </c:pt>
                <c:pt idx="5">
                  <c:v>-6576.000000</c:v>
                </c:pt>
                <c:pt idx="6">
                  <c:v>-3416.000000</c:v>
                </c:pt>
                <c:pt idx="7">
                  <c:v>-2478.000000</c:v>
                </c:pt>
                <c:pt idx="8">
                  <c:v>331.000000</c:v>
                </c:pt>
                <c:pt idx="9">
                  <c:v>-1156.000000</c:v>
                </c:pt>
                <c:pt idx="10">
                  <c:v>734.000000</c:v>
                </c:pt>
                <c:pt idx="11">
                  <c:v>3205.000000</c:v>
                </c:pt>
                <c:pt idx="12">
                  <c:v>4805.000000</c:v>
                </c:pt>
                <c:pt idx="13">
                  <c:v>8138.000000</c:v>
                </c:pt>
                <c:pt idx="14">
                  <c:v>7699.750000</c:v>
                </c:pt>
                <c:pt idx="15">
                  <c:v>6750.781250</c:v>
                </c:pt>
                <c:pt idx="16">
                  <c:v>6721.551406</c:v>
                </c:pt>
                <c:pt idx="17">
                  <c:v>12104.355052</c:v>
                </c:pt>
                <c:pt idx="18">
                  <c:v>11866.346203</c:v>
                </c:pt>
                <c:pt idx="19">
                  <c:v>12544.673393</c:v>
                </c:pt>
                <c:pt idx="20">
                  <c:v>9980.931310</c:v>
                </c:pt>
                <c:pt idx="21">
                  <c:v>12839.754801</c:v>
                </c:pt>
                <c:pt idx="22">
                  <c:v>14277.821644</c:v>
                </c:pt>
                <c:pt idx="23">
                  <c:v>16557.855516</c:v>
                </c:pt>
                <c:pt idx="24">
                  <c:v>15744.629167</c:v>
                </c:pt>
                <c:pt idx="25">
                  <c:v>14335.000000</c:v>
                </c:pt>
                <c:pt idx="26">
                  <c:v>14895.090000</c:v>
                </c:pt>
                <c:pt idx="27">
                  <c:v>16563.880900</c:v>
                </c:pt>
                <c:pt idx="28">
                  <c:v>19690.766265</c:v>
                </c:pt>
                <c:pt idx="29">
                  <c:v>23849.003595</c:v>
                </c:pt>
                <c:pt idx="30">
                  <c:v>26747.449632</c:v>
                </c:pt>
                <c:pt idx="31">
                  <c:v>28394.610184</c:v>
                </c:pt>
                <c:pt idx="32">
                  <c:v>28931.694111</c:v>
                </c:pt>
                <c:pt idx="33">
                  <c:v>29462.671828</c:v>
                </c:pt>
                <c:pt idx="34">
                  <c:v>34960.338687</c:v>
                </c:pt>
                <c:pt idx="35">
                  <c:v>34624.383670</c:v>
                </c:pt>
                <c:pt idx="36">
                  <c:v>39814.463815</c:v>
                </c:pt>
                <c:pt idx="37">
                  <c:v>41235.000000</c:v>
                </c:pt>
                <c:pt idx="38">
                  <c:v>42205.130000</c:v>
                </c:pt>
                <c:pt idx="39">
                  <c:v>45103.101950</c:v>
                </c:pt>
                <c:pt idx="40">
                  <c:v>44122.928479</c:v>
                </c:pt>
                <c:pt idx="41">
                  <c:v>47067.622406</c:v>
                </c:pt>
                <c:pt idx="42">
                  <c:v>50889.196743</c:v>
                </c:pt>
                <c:pt idx="43">
                  <c:v>51025.664694</c:v>
                </c:pt>
                <c:pt idx="44">
                  <c:v>48958.039664</c:v>
                </c:pt>
                <c:pt idx="45">
                  <c:v>50980.335259</c:v>
                </c:pt>
                <c:pt idx="46">
                  <c:v>54357.565288</c:v>
                </c:pt>
                <c:pt idx="47">
                  <c:v>51069.743767</c:v>
                </c:pt>
                <c:pt idx="48">
                  <c:v>55600.884924</c:v>
                </c:pt>
                <c:pt idx="49">
                  <c:v>83029.046868</c:v>
                </c:pt>
                <c:pt idx="50">
                  <c:v>85644.603949</c:v>
                </c:pt>
                <c:pt idx="51">
                  <c:v>87544.356296</c:v>
                </c:pt>
                <c:pt idx="52">
                  <c:v>91341.283742</c:v>
                </c:pt>
                <c:pt idx="53">
                  <c:v>94126.643915</c:v>
                </c:pt>
                <c:pt idx="54">
                  <c:v>95626.988300</c:v>
                </c:pt>
                <c:pt idx="55">
                  <c:v>97398.179268</c:v>
                </c:pt>
                <c:pt idx="56">
                  <c:v>101076.408114</c:v>
                </c:pt>
                <c:pt idx="57">
                  <c:v>103088.214190</c:v>
                </c:pt>
                <c:pt idx="58">
                  <c:v>110585.505172</c:v>
                </c:pt>
                <c:pt idx="59">
                  <c:v>110679.578555</c:v>
                </c:pt>
                <c:pt idx="60">
                  <c:v>115691.144439</c:v>
                </c:pt>
              </c:numCache>
            </c:numRef>
          </c:val>
        </c:ser>
        <c:ser>
          <c:idx val="1"/>
          <c:order val="1"/>
          <c:tx>
            <c:v>Untitled 2</c:v>
          </c:tx>
          <c:spPr>
            <a:solidFill>
              <a:schemeClr val="accent2"/>
            </a:solidFill>
            <a:ln w="9525" cap="flat">
              <a:solidFill>
                <a:srgbClr val="F9F9F9"/>
              </a:solidFill>
              <a:prstDash val="solid"/>
              <a:round/>
            </a:ln>
            <a:effectLst/>
          </c:spPr>
          <c:dLbls>
            <c:numFmt formatCode="#,##0" sourceLinked="1"/>
            <c:txPr>
              <a:bodyPr/>
              <a:lstStyle/>
              <a:p>
                <a:pPr>
                  <a:defRPr b="0" i="0" strike="noStrike" sz="118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1"/>
              <c:pt idx="0">
                <c:v>January 2017</c:v>
              </c:pt>
              <c:pt idx="1">
                <c:v>February 2017</c:v>
              </c:pt>
              <c:pt idx="2">
                <c:v>March 2017</c:v>
              </c:pt>
              <c:pt idx="3">
                <c:v>April 2017</c:v>
              </c:pt>
              <c:pt idx="4">
                <c:v>May 2017</c:v>
              </c:pt>
              <c:pt idx="5">
                <c:v>June 2017</c:v>
              </c:pt>
              <c:pt idx="6">
                <c:v>July 2017</c:v>
              </c:pt>
              <c:pt idx="7">
                <c:v>August 2017</c:v>
              </c:pt>
              <c:pt idx="8">
                <c:v>September 2017</c:v>
              </c:pt>
              <c:pt idx="9">
                <c:v>October 2017</c:v>
              </c:pt>
              <c:pt idx="10">
                <c:v>November 2017</c:v>
              </c:pt>
              <c:pt idx="11">
                <c:v>December 2017</c:v>
              </c:pt>
              <c:pt idx="12">
                <c:v>January 2018</c:v>
              </c:pt>
              <c:pt idx="13">
                <c:v>February 2018</c:v>
              </c:pt>
              <c:pt idx="14">
                <c:v>March 2018</c:v>
              </c:pt>
              <c:pt idx="15">
                <c:v>April 2018</c:v>
              </c:pt>
              <c:pt idx="16">
                <c:v>May 2018</c:v>
              </c:pt>
              <c:pt idx="17">
                <c:v>June 2018</c:v>
              </c:pt>
              <c:pt idx="18">
                <c:v>July 2018</c:v>
              </c:pt>
              <c:pt idx="19">
                <c:v>August 2018</c:v>
              </c:pt>
              <c:pt idx="20">
                <c:v>September 2018</c:v>
              </c:pt>
              <c:pt idx="21">
                <c:v>October 2018</c:v>
              </c:pt>
              <c:pt idx="22">
                <c:v>November 2018</c:v>
              </c:pt>
              <c:pt idx="23">
                <c:v>December 2018</c:v>
              </c:pt>
              <c:pt idx="24">
                <c:v>January 2019</c:v>
              </c:pt>
              <c:pt idx="25">
                <c:v>February 2019</c:v>
              </c:pt>
              <c:pt idx="26">
                <c:v>March 2019</c:v>
              </c:pt>
              <c:pt idx="27">
                <c:v>April 2019</c:v>
              </c:pt>
              <c:pt idx="28">
                <c:v>May 2019</c:v>
              </c:pt>
              <c:pt idx="29">
                <c:v>June 2019</c:v>
              </c:pt>
              <c:pt idx="30">
                <c:v>July 2019</c:v>
              </c:pt>
              <c:pt idx="31">
                <c:v>August 2019</c:v>
              </c:pt>
              <c:pt idx="32">
                <c:v>September 2019</c:v>
              </c:pt>
              <c:pt idx="33">
                <c:v>October 2019</c:v>
              </c:pt>
              <c:pt idx="34">
                <c:v>November 2019</c:v>
              </c:pt>
              <c:pt idx="35">
                <c:v>December 2019</c:v>
              </c:pt>
              <c:pt idx="36">
                <c:v>January 2020</c:v>
              </c:pt>
              <c:pt idx="37">
                <c:v>February 2020</c:v>
              </c:pt>
              <c:pt idx="38">
                <c:v>March 2020</c:v>
              </c:pt>
              <c:pt idx="39">
                <c:v>April 2020</c:v>
              </c:pt>
              <c:pt idx="40">
                <c:v>May 2020</c:v>
              </c:pt>
              <c:pt idx="41">
                <c:v>June 2020</c:v>
              </c:pt>
              <c:pt idx="42">
                <c:v>July 2020</c:v>
              </c:pt>
              <c:pt idx="43">
                <c:v>August 2020</c:v>
              </c:pt>
              <c:pt idx="44">
                <c:v>September 2020</c:v>
              </c:pt>
              <c:pt idx="45">
                <c:v>October 2020</c:v>
              </c:pt>
              <c:pt idx="46">
                <c:v>November 2020</c:v>
              </c:pt>
              <c:pt idx="47">
                <c:v>December 2020</c:v>
              </c:pt>
              <c:pt idx="48">
                <c:v>January 2021</c:v>
              </c:pt>
              <c:pt idx="49">
                <c:v>February 2021</c:v>
              </c:pt>
              <c:pt idx="50">
                <c:v>March 2021</c:v>
              </c:pt>
              <c:pt idx="51">
                <c:v>April 2021</c:v>
              </c:pt>
              <c:pt idx="52">
                <c:v>May 2021</c:v>
              </c:pt>
              <c:pt idx="53">
                <c:v>June 2021</c:v>
              </c:pt>
              <c:pt idx="54">
                <c:v>July 2021</c:v>
              </c:pt>
              <c:pt idx="55">
                <c:v>August 2021</c:v>
              </c:pt>
              <c:pt idx="56">
                <c:v>September 2021</c:v>
              </c:pt>
              <c:pt idx="57">
                <c:v>October 2021</c:v>
              </c:pt>
              <c:pt idx="58">
                <c:v>November 2021</c:v>
              </c:pt>
              <c:pt idx="59">
                <c:v>December 2021</c:v>
              </c:pt>
              <c:pt idx="60">
                <c:v/>
              </c:pt>
            </c:strLit>
          </c:cat>
          <c:val>
            <c:numRef>
              <c:f>'NetWorthOverzicht - De Geldvrie'!$A$2</c:f>
              <c:numCache>
                <c:ptCount val="0"/>
              </c:numCache>
            </c:numRef>
          </c:val>
        </c:ser>
        <c:axId val="2094734552"/>
        <c:axId val="2094734553"/>
      </c:area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18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[$€-2]#,##0.00" sourceLinked="0"/>
        <c:majorTickMark val="out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18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37500"/>
        <c:minorUnit val="18750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38535</xdr:colOff>
      <xdr:row>70</xdr:row>
      <xdr:rowOff>64860</xdr:rowOff>
    </xdr:from>
    <xdr:to>
      <xdr:col>22</xdr:col>
      <xdr:colOff>0</xdr:colOff>
      <xdr:row>102</xdr:row>
      <xdr:rowOff>139057</xdr:rowOff>
    </xdr:to>
    <xdr:graphicFrame>
      <xdr:nvGraphicFramePr>
        <xdr:cNvPr id="4" name="Chart 4"/>
        <xdr:cNvGraphicFramePr/>
      </xdr:nvGraphicFramePr>
      <xdr:xfrm>
        <a:off x="2324535" y="11621860"/>
        <a:ext cx="14439465" cy="535739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Z62"/>
  <sheetViews>
    <sheetView workbookViewId="0" showGridLines="0" defaultGridColor="1"/>
  </sheetViews>
  <sheetFormatPr defaultColWidth="14.5" defaultRowHeight="11.45" customHeight="1" outlineLevelRow="0" outlineLevelCol="0"/>
  <cols>
    <col min="1" max="1" width="13.1719" style="1" customWidth="1"/>
    <col min="2" max="2" width="9.85156" style="1" customWidth="1"/>
    <col min="3" max="3" width="10.5" style="1" customWidth="1"/>
    <col min="4" max="4" width="8.85156" style="1" customWidth="1"/>
    <col min="5" max="5" width="10" style="1" customWidth="1"/>
    <col min="6" max="8" hidden="1" width="14.5" style="1" customWidth="1"/>
    <col min="9" max="11" width="13.8516" style="1" customWidth="1"/>
    <col min="12" max="12" width="10.5" style="1" customWidth="1"/>
    <col min="13" max="13" width="12.3516" style="1" customWidth="1"/>
    <col min="14" max="15" width="11.5" style="1" customWidth="1"/>
    <col min="16" max="16" width="11.3516" style="1" customWidth="1"/>
    <col min="17" max="17" width="14.5" style="1" customWidth="1"/>
    <col min="18" max="18" width="12.5" style="1" customWidth="1"/>
    <col min="19" max="19" width="10" style="1" customWidth="1"/>
    <col min="20" max="20" width="10.1719" style="1" customWidth="1"/>
    <col min="21" max="21" width="13" style="1" customWidth="1"/>
    <col min="22" max="22" width="8.85156" style="1" customWidth="1"/>
    <col min="23" max="23" width="14.5" style="1" customWidth="1"/>
    <col min="24" max="24" width="14" style="1" customWidth="1"/>
    <col min="25" max="25" width="12.6719" style="1" customWidth="1"/>
    <col min="26" max="26" width="14.5" style="1" customWidth="1"/>
    <col min="27" max="16384" width="14.5" style="1" customWidth="1"/>
  </cols>
  <sheetData>
    <row r="1" ht="24.5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7.5" customHeight="1">
      <c r="A2" t="s" s="3">
        <v>1</v>
      </c>
      <c r="B2" t="s" s="3">
        <v>2</v>
      </c>
      <c r="C2" t="s" s="3">
        <v>3</v>
      </c>
      <c r="D2" t="s" s="3">
        <v>4</v>
      </c>
      <c r="E2" t="s" s="4">
        <v>5</v>
      </c>
      <c r="F2" t="s" s="5">
        <v>6</v>
      </c>
      <c r="G2" t="s" s="5">
        <v>7</v>
      </c>
      <c r="H2" t="s" s="5">
        <v>8</v>
      </c>
      <c r="I2" t="s" s="3">
        <v>9</v>
      </c>
      <c r="J2" t="s" s="3">
        <v>10</v>
      </c>
      <c r="K2" t="s" s="3">
        <v>11</v>
      </c>
      <c r="L2" t="s" s="3">
        <v>12</v>
      </c>
      <c r="M2" t="s" s="3">
        <v>13</v>
      </c>
      <c r="N2" t="s" s="3">
        <v>14</v>
      </c>
      <c r="O2" t="s" s="3">
        <v>15</v>
      </c>
      <c r="P2" t="s" s="3">
        <v>16</v>
      </c>
      <c r="Q2" t="s" s="3">
        <v>17</v>
      </c>
      <c r="R2" t="s" s="3">
        <v>18</v>
      </c>
      <c r="S2" t="s" s="3">
        <v>19</v>
      </c>
      <c r="T2" t="s" s="3">
        <v>20</v>
      </c>
      <c r="U2" t="s" s="3">
        <v>21</v>
      </c>
      <c r="V2" t="s" s="3">
        <v>22</v>
      </c>
      <c r="W2" t="s" s="3">
        <v>1</v>
      </c>
      <c r="X2" t="s" s="3">
        <v>23</v>
      </c>
      <c r="Y2" t="s" s="3">
        <v>24</v>
      </c>
      <c r="Z2" t="s" s="3">
        <v>25</v>
      </c>
    </row>
    <row r="3" ht="12.75" customHeight="1">
      <c r="A3" s="6">
        <v>42736</v>
      </c>
      <c r="B3" s="7">
        <f t="shared" si="0" ref="B3:B62">RANDBETWEEN(100,5000)</f>
        <v>3641</v>
      </c>
      <c r="C3" s="7">
        <v>2000</v>
      </c>
      <c r="D3" s="7">
        <v>0</v>
      </c>
      <c r="E3" s="8">
        <f>SUM(B3:D3)</f>
        <v>5641</v>
      </c>
      <c r="F3" s="7"/>
      <c r="G3" s="7"/>
      <c r="H3" s="7"/>
      <c r="I3" s="7">
        <v>1250</v>
      </c>
      <c r="J3" s="7">
        <v>1250</v>
      </c>
      <c r="K3" s="7">
        <v>750</v>
      </c>
      <c r="L3" s="7">
        <v>123</v>
      </c>
      <c r="M3" s="9">
        <f>SUM(I3:L3)</f>
        <v>3373</v>
      </c>
      <c r="N3" s="7">
        <v>125</v>
      </c>
      <c r="O3" s="7">
        <f t="shared" si="3" ref="O3:O14">RANDBETWEEN(250,500)</f>
        <v>358</v>
      </c>
      <c r="P3" s="7">
        <f>C3</f>
        <v>2000</v>
      </c>
      <c r="Q3" s="8">
        <f>SUM(N3:P3)</f>
        <v>2483</v>
      </c>
      <c r="R3" s="8">
        <f>Q3</f>
        <v>2483</v>
      </c>
      <c r="S3" t="s" s="10">
        <v>26</v>
      </c>
      <c r="T3" t="s" s="10">
        <v>26</v>
      </c>
      <c r="U3" s="7">
        <v>18221</v>
      </c>
      <c r="V3" t="s" s="10">
        <v>26</v>
      </c>
      <c r="W3" s="6">
        <f>DATE(2017,1,1)</f>
        <v>42736</v>
      </c>
      <c r="X3" s="9">
        <f>-SUM(S3:V3)</f>
        <v>-18221</v>
      </c>
      <c r="Y3" s="9">
        <f>SUM(E3,H3,M3)</f>
        <v>9014</v>
      </c>
      <c r="Z3" s="11">
        <f>X3+Y3</f>
        <v>-9207</v>
      </c>
    </row>
    <row r="4" ht="12.75" customHeight="1">
      <c r="A4" s="12">
        <v>42767</v>
      </c>
      <c r="B4" s="13">
        <f t="shared" si="0"/>
        <v>1292</v>
      </c>
      <c r="C4" s="13">
        <f>C3+RANDBETWEEN(200,500)</f>
        <v>2272</v>
      </c>
      <c r="D4" s="13"/>
      <c r="E4" s="14">
        <f>SUM(B4:D4)</f>
        <v>3564</v>
      </c>
      <c r="F4" s="13"/>
      <c r="G4" s="13"/>
      <c r="H4" s="13"/>
      <c r="I4" s="13">
        <f>1700-H4</f>
        <v>1700</v>
      </c>
      <c r="J4" s="13">
        <v>1250</v>
      </c>
      <c r="K4" s="13">
        <f>K3+100</f>
        <v>850</v>
      </c>
      <c r="L4" s="13">
        <f>L3+125</f>
        <v>248</v>
      </c>
      <c r="M4" s="15">
        <f>SUM(I4:L4)</f>
        <v>4048</v>
      </c>
      <c r="N4" s="13">
        <v>125</v>
      </c>
      <c r="O4" s="13">
        <f t="shared" si="3"/>
        <v>300</v>
      </c>
      <c r="P4" s="13">
        <f>C4-C3</f>
        <v>272</v>
      </c>
      <c r="Q4" s="14">
        <f>SUM(N4:P4)</f>
        <v>697</v>
      </c>
      <c r="R4" s="14">
        <f>R3+Q4</f>
        <v>3180</v>
      </c>
      <c r="S4" t="s" s="5">
        <v>26</v>
      </c>
      <c r="T4" t="s" s="5">
        <v>26</v>
      </c>
      <c r="U4" s="13">
        <f>U3-110</f>
        <v>18111</v>
      </c>
      <c r="V4" t="s" s="5">
        <v>26</v>
      </c>
      <c r="W4" s="12">
        <f>DATE(2017,2,1)</f>
        <v>42767</v>
      </c>
      <c r="X4" s="15">
        <f>-SUM(S4:V4)</f>
        <v>-18111</v>
      </c>
      <c r="Y4" s="15">
        <f>SUM(E4,H4,M4)</f>
        <v>7612</v>
      </c>
      <c r="Z4" s="16">
        <f>X4+Y4</f>
        <v>-10499</v>
      </c>
    </row>
    <row r="5" ht="12.75" customHeight="1">
      <c r="A5" s="6">
        <v>42795</v>
      </c>
      <c r="B5" s="7">
        <f t="shared" si="0"/>
        <v>2367</v>
      </c>
      <c r="C5" s="7">
        <f>C4+RANDBETWEEN(200,500)</f>
        <v>2694</v>
      </c>
      <c r="D5" s="7"/>
      <c r="E5" s="8">
        <f>SUM(B5:D5)</f>
        <v>5061</v>
      </c>
      <c r="F5" s="7"/>
      <c r="G5" s="7"/>
      <c r="H5" s="7"/>
      <c r="I5" s="7">
        <f>2300-H5</f>
        <v>2300</v>
      </c>
      <c r="J5" s="7">
        <v>1250</v>
      </c>
      <c r="K5" s="7">
        <f>K4+100</f>
        <v>950</v>
      </c>
      <c r="L5" s="7">
        <f>L4+125</f>
        <v>373</v>
      </c>
      <c r="M5" s="9">
        <f>SUM(I5:L5)</f>
        <v>4873</v>
      </c>
      <c r="N5" s="7">
        <v>125</v>
      </c>
      <c r="O5" s="7">
        <f t="shared" si="3"/>
        <v>456</v>
      </c>
      <c r="P5" s="7">
        <f>C5-C4</f>
        <v>422</v>
      </c>
      <c r="Q5" s="8">
        <f>SUM(N5:P5)</f>
        <v>1003</v>
      </c>
      <c r="R5" s="8">
        <f>R4+Q5</f>
        <v>4183</v>
      </c>
      <c r="S5" t="s" s="10">
        <v>26</v>
      </c>
      <c r="T5" t="s" s="10">
        <v>26</v>
      </c>
      <c r="U5" s="7">
        <f>U4-110</f>
        <v>18001</v>
      </c>
      <c r="V5" t="s" s="10">
        <v>26</v>
      </c>
      <c r="W5" s="6">
        <f>DATE(2017,3,1)</f>
        <v>42795</v>
      </c>
      <c r="X5" s="9">
        <f>-SUM(S5:V5)</f>
        <v>-18001</v>
      </c>
      <c r="Y5" s="9">
        <f>SUM(E5,H5,M5)</f>
        <v>9934</v>
      </c>
      <c r="Z5" s="11">
        <f>X5+Y5</f>
        <v>-8067</v>
      </c>
    </row>
    <row r="6" ht="12.75" customHeight="1">
      <c r="A6" s="12">
        <v>42826</v>
      </c>
      <c r="B6" s="13">
        <f t="shared" si="0"/>
        <v>3886</v>
      </c>
      <c r="C6" s="13">
        <f>C5+RANDBETWEEN(200,500)</f>
        <v>3169</v>
      </c>
      <c r="D6" s="13"/>
      <c r="E6" s="14">
        <f>SUM(B6:D6)</f>
        <v>7055</v>
      </c>
      <c r="F6" s="13"/>
      <c r="G6" s="13"/>
      <c r="H6" s="13"/>
      <c r="I6" s="13">
        <f>2900-H6</f>
        <v>2900</v>
      </c>
      <c r="J6" s="13">
        <v>1250</v>
      </c>
      <c r="K6" s="13">
        <f>K5+100</f>
        <v>1050</v>
      </c>
      <c r="L6" s="13">
        <f>L5+125</f>
        <v>498</v>
      </c>
      <c r="M6" s="15">
        <f>SUM(I6:L6)</f>
        <v>5698</v>
      </c>
      <c r="N6" s="13">
        <v>125</v>
      </c>
      <c r="O6" s="13">
        <f t="shared" si="3"/>
        <v>474</v>
      </c>
      <c r="P6" s="13">
        <f>C6-C5</f>
        <v>475</v>
      </c>
      <c r="Q6" s="14">
        <f>SUM(N6:P6)</f>
        <v>1074</v>
      </c>
      <c r="R6" s="14">
        <f>R5+Q6</f>
        <v>5257</v>
      </c>
      <c r="S6" t="s" s="5">
        <v>26</v>
      </c>
      <c r="T6" t="s" s="5">
        <v>26</v>
      </c>
      <c r="U6" s="13">
        <f>U5-110</f>
        <v>17891</v>
      </c>
      <c r="V6" t="s" s="5">
        <v>26</v>
      </c>
      <c r="W6" s="12">
        <f>DATE(2017,4,1)</f>
        <v>42826</v>
      </c>
      <c r="X6" s="15">
        <f>-SUM(S6:V6)</f>
        <v>-17891</v>
      </c>
      <c r="Y6" s="15">
        <f>SUM(E6,H6,M6)</f>
        <v>12753</v>
      </c>
      <c r="Z6" s="16">
        <f>X6+Y6</f>
        <v>-5138</v>
      </c>
    </row>
    <row r="7" ht="12.75" customHeight="1">
      <c r="A7" s="6">
        <v>42856</v>
      </c>
      <c r="B7" s="7">
        <f t="shared" si="0"/>
        <v>1236</v>
      </c>
      <c r="C7" s="7">
        <f>C6+RANDBETWEEN(200,500)</f>
        <v>3446</v>
      </c>
      <c r="D7" s="7"/>
      <c r="E7" s="8">
        <f>SUM(B7:D7)</f>
        <v>4682</v>
      </c>
      <c r="F7" s="7"/>
      <c r="G7" s="7"/>
      <c r="H7" s="7"/>
      <c r="I7" s="7">
        <f>3500-H7</f>
        <v>3500</v>
      </c>
      <c r="J7" s="7">
        <v>1250</v>
      </c>
      <c r="K7" s="7">
        <f>K6+100</f>
        <v>1150</v>
      </c>
      <c r="L7" s="7">
        <f>L6+125</f>
        <v>623</v>
      </c>
      <c r="M7" s="9">
        <f>SUM(I7:L7)</f>
        <v>6523</v>
      </c>
      <c r="N7" s="7">
        <v>125</v>
      </c>
      <c r="O7" s="7">
        <f t="shared" si="3"/>
        <v>271</v>
      </c>
      <c r="P7" s="7">
        <f>C7-C6</f>
        <v>277</v>
      </c>
      <c r="Q7" s="8">
        <f>SUM(N7:P7)</f>
        <v>673</v>
      </c>
      <c r="R7" s="8">
        <f>R6+Q7</f>
        <v>5930</v>
      </c>
      <c r="S7" t="s" s="10">
        <v>26</v>
      </c>
      <c r="T7" t="s" s="10">
        <v>26</v>
      </c>
      <c r="U7" s="7">
        <f>U6-110</f>
        <v>17781</v>
      </c>
      <c r="V7" t="s" s="10">
        <v>26</v>
      </c>
      <c r="W7" s="6">
        <f>DATE(2017,5,1)</f>
        <v>42856</v>
      </c>
      <c r="X7" s="9">
        <f>-SUM(S7:V7)</f>
        <v>-17781</v>
      </c>
      <c r="Y7" s="9">
        <f>SUM(E7,H7,M7)</f>
        <v>11205</v>
      </c>
      <c r="Z7" s="11">
        <f>X7+Y7</f>
        <v>-6576</v>
      </c>
    </row>
    <row r="8" ht="12.75" customHeight="1">
      <c r="A8" s="12">
        <v>42887</v>
      </c>
      <c r="B8" s="13">
        <f t="shared" si="0"/>
        <v>2918</v>
      </c>
      <c r="C8" s="13">
        <f>C7+RANDBETWEEN(200,500)</f>
        <v>3833</v>
      </c>
      <c r="D8" s="13"/>
      <c r="E8" s="14">
        <f>SUM(B8:D8)</f>
        <v>6751</v>
      </c>
      <c r="F8" s="13"/>
      <c r="G8" s="13"/>
      <c r="H8" s="13"/>
      <c r="I8" s="13">
        <v>4256</v>
      </c>
      <c r="J8" s="13">
        <v>1250</v>
      </c>
      <c r="K8" s="13">
        <f>K7+100</f>
        <v>1250</v>
      </c>
      <c r="L8" s="13">
        <f>L7+125</f>
        <v>748</v>
      </c>
      <c r="M8" s="15">
        <f>SUM(I8:L8)</f>
        <v>7504</v>
      </c>
      <c r="N8" s="13">
        <v>125</v>
      </c>
      <c r="O8" s="13">
        <f t="shared" si="3"/>
        <v>479</v>
      </c>
      <c r="P8" s="13">
        <f>C8-C7</f>
        <v>387</v>
      </c>
      <c r="Q8" s="14">
        <f>SUM(N8:P8)</f>
        <v>991</v>
      </c>
      <c r="R8" s="14">
        <f>R7+Q8</f>
        <v>6921</v>
      </c>
      <c r="S8" t="s" s="5">
        <v>26</v>
      </c>
      <c r="T8" t="s" s="5">
        <v>26</v>
      </c>
      <c r="U8" s="13">
        <f>U7-110</f>
        <v>17671</v>
      </c>
      <c r="V8" t="s" s="5">
        <v>26</v>
      </c>
      <c r="W8" s="12">
        <f>DATE(2017,6,1)</f>
        <v>42887</v>
      </c>
      <c r="X8" s="15">
        <f>-SUM(S8:V8)</f>
        <v>-17671</v>
      </c>
      <c r="Y8" s="15">
        <f>SUM(E8,H8,M8)</f>
        <v>14255</v>
      </c>
      <c r="Z8" s="16">
        <f>X8+Y8</f>
        <v>-3416</v>
      </c>
    </row>
    <row r="9" ht="12.75" customHeight="1">
      <c r="A9" s="6">
        <v>42917</v>
      </c>
      <c r="B9" s="7">
        <f t="shared" si="0"/>
        <v>2470</v>
      </c>
      <c r="C9" s="7">
        <f>C8+RANDBETWEEN(200,500)</f>
        <v>4230</v>
      </c>
      <c r="D9" s="7"/>
      <c r="E9" s="8">
        <f>SUM(B9:D9)</f>
        <v>6700</v>
      </c>
      <c r="F9" s="7"/>
      <c r="G9" s="7"/>
      <c r="H9" s="7"/>
      <c r="I9" s="7">
        <f>4910-H9</f>
        <v>4910</v>
      </c>
      <c r="J9" s="7">
        <v>1250</v>
      </c>
      <c r="K9" s="7">
        <f>K8+100</f>
        <v>1350</v>
      </c>
      <c r="L9" s="7">
        <f>L8+125</f>
        <v>873</v>
      </c>
      <c r="M9" s="9">
        <f>SUM(I9:L9)</f>
        <v>8383</v>
      </c>
      <c r="N9" s="7">
        <v>125</v>
      </c>
      <c r="O9" s="7">
        <f t="shared" si="3"/>
        <v>288</v>
      </c>
      <c r="P9" s="7">
        <f>C9-C8</f>
        <v>397</v>
      </c>
      <c r="Q9" s="8">
        <f>SUM(N9:P9)</f>
        <v>810</v>
      </c>
      <c r="R9" s="8">
        <f>R8+Q9</f>
        <v>7731</v>
      </c>
      <c r="S9" t="s" s="10">
        <v>26</v>
      </c>
      <c r="T9" t="s" s="10">
        <v>26</v>
      </c>
      <c r="U9" s="7">
        <f>U8-110</f>
        <v>17561</v>
      </c>
      <c r="V9" t="s" s="10">
        <v>26</v>
      </c>
      <c r="W9" s="6">
        <f>DATE(2017,7,1)</f>
        <v>42917</v>
      </c>
      <c r="X9" s="9">
        <f>-SUM(S9:V9)</f>
        <v>-17561</v>
      </c>
      <c r="Y9" s="9">
        <f>SUM(E9,H9,M9)</f>
        <v>15083</v>
      </c>
      <c r="Z9" s="11">
        <f>X9+Y9</f>
        <v>-2478</v>
      </c>
    </row>
    <row r="10" ht="12.75" customHeight="1">
      <c r="A10" s="12">
        <v>42948</v>
      </c>
      <c r="B10" s="13">
        <f t="shared" si="0"/>
        <v>4081</v>
      </c>
      <c r="C10" s="13">
        <f>C9+RANDBETWEEN(200,500)</f>
        <v>4501</v>
      </c>
      <c r="D10" s="13"/>
      <c r="E10" s="14">
        <f>SUM(B10:D10)</f>
        <v>8582</v>
      </c>
      <c r="F10" s="13"/>
      <c r="G10" s="13"/>
      <c r="H10" s="13"/>
      <c r="I10" s="13">
        <f>5502-H10</f>
        <v>5502</v>
      </c>
      <c r="J10" s="13">
        <v>1250</v>
      </c>
      <c r="K10" s="13">
        <f>K9+100</f>
        <v>1450</v>
      </c>
      <c r="L10" s="13">
        <f>L9+125</f>
        <v>998</v>
      </c>
      <c r="M10" s="15">
        <f>SUM(I10:L10)</f>
        <v>9200</v>
      </c>
      <c r="N10" s="13">
        <v>125</v>
      </c>
      <c r="O10" s="13">
        <f t="shared" si="3"/>
        <v>375</v>
      </c>
      <c r="P10" s="13">
        <f>C10-C9</f>
        <v>271</v>
      </c>
      <c r="Q10" s="14">
        <f>SUM(N10:P10)</f>
        <v>771</v>
      </c>
      <c r="R10" s="14">
        <f>R9+Q10</f>
        <v>8502</v>
      </c>
      <c r="S10" t="s" s="5">
        <v>26</v>
      </c>
      <c r="T10" t="s" s="5">
        <v>26</v>
      </c>
      <c r="U10" s="13">
        <f>U9-110</f>
        <v>17451</v>
      </c>
      <c r="V10" t="s" s="5">
        <v>26</v>
      </c>
      <c r="W10" s="12">
        <f>DATE(2017,8,1)</f>
        <v>42948</v>
      </c>
      <c r="X10" s="15">
        <f>-SUM(S10:V10)</f>
        <v>-17451</v>
      </c>
      <c r="Y10" s="15">
        <f>SUM(E10,H10,M10)</f>
        <v>17782</v>
      </c>
      <c r="Z10" s="16">
        <f>X10+Y10</f>
        <v>331</v>
      </c>
    </row>
    <row r="11" ht="12.75" customHeight="1">
      <c r="A11" s="6">
        <v>42979</v>
      </c>
      <c r="B11" s="7">
        <f t="shared" si="0"/>
        <v>1429</v>
      </c>
      <c r="C11" s="7">
        <f>C10+RANDBETWEEN(200,500)</f>
        <v>4710</v>
      </c>
      <c r="D11" s="7"/>
      <c r="E11" s="8">
        <f>SUM(B11:D11)</f>
        <v>6139</v>
      </c>
      <c r="F11" s="7"/>
      <c r="G11" s="7"/>
      <c r="H11" s="7"/>
      <c r="I11" s="7">
        <f>6123-H11</f>
        <v>6123</v>
      </c>
      <c r="J11" s="7">
        <v>1250</v>
      </c>
      <c r="K11" s="7">
        <f>K10+100</f>
        <v>1550</v>
      </c>
      <c r="L11" s="7">
        <f>L10+125</f>
        <v>1123</v>
      </c>
      <c r="M11" s="9">
        <f>SUM(I11:L11)</f>
        <v>10046</v>
      </c>
      <c r="N11" s="7">
        <v>125</v>
      </c>
      <c r="O11" s="7">
        <f t="shared" si="3"/>
        <v>409</v>
      </c>
      <c r="P11" s="7">
        <f>C11-C10</f>
        <v>209</v>
      </c>
      <c r="Q11" s="8">
        <f>SUM(N11:P11)</f>
        <v>743</v>
      </c>
      <c r="R11" s="8">
        <f>R10+Q11</f>
        <v>9245</v>
      </c>
      <c r="S11" t="s" s="10">
        <v>26</v>
      </c>
      <c r="T11" t="s" s="10">
        <v>26</v>
      </c>
      <c r="U11" s="7">
        <f>U10-110</f>
        <v>17341</v>
      </c>
      <c r="V11" t="s" s="10">
        <v>26</v>
      </c>
      <c r="W11" s="6">
        <f>DATE(2017,9,1)</f>
        <v>42979</v>
      </c>
      <c r="X11" s="9">
        <f>-SUM(S11:V11)</f>
        <v>-17341</v>
      </c>
      <c r="Y11" s="9">
        <f>SUM(E11,H11,M11)</f>
        <v>16185</v>
      </c>
      <c r="Z11" s="11">
        <f>X11+Y11</f>
        <v>-1156</v>
      </c>
    </row>
    <row r="12" ht="12.75" customHeight="1">
      <c r="A12" s="12">
        <v>43009</v>
      </c>
      <c r="B12" s="13">
        <f t="shared" si="0"/>
        <v>1782</v>
      </c>
      <c r="C12" s="13">
        <f>C11+RANDBETWEEN(200,500)</f>
        <v>5160</v>
      </c>
      <c r="D12" s="13"/>
      <c r="E12" s="14">
        <f>SUM(B12:D12)</f>
        <v>6942</v>
      </c>
      <c r="F12" s="13"/>
      <c r="G12" s="13"/>
      <c r="H12" s="13"/>
      <c r="I12" s="13">
        <f>6875-H12</f>
        <v>6875</v>
      </c>
      <c r="J12" s="13">
        <v>1250</v>
      </c>
      <c r="K12" s="13">
        <f>K11+100</f>
        <v>1650</v>
      </c>
      <c r="L12" s="13">
        <f>L11+125</f>
        <v>1248</v>
      </c>
      <c r="M12" s="15">
        <f>SUM(I12:L12)</f>
        <v>11023</v>
      </c>
      <c r="N12" s="13">
        <v>125</v>
      </c>
      <c r="O12" s="13">
        <f t="shared" si="3"/>
        <v>487</v>
      </c>
      <c r="P12" s="13">
        <f>C12-C11</f>
        <v>450</v>
      </c>
      <c r="Q12" s="14">
        <f>SUM(N12:P12)</f>
        <v>1062</v>
      </c>
      <c r="R12" s="14">
        <f>R11+Q12</f>
        <v>10307</v>
      </c>
      <c r="S12" t="s" s="5">
        <v>26</v>
      </c>
      <c r="T12" t="s" s="5">
        <v>26</v>
      </c>
      <c r="U12" s="13">
        <f>U11-110</f>
        <v>17231</v>
      </c>
      <c r="V12" t="s" s="5">
        <v>26</v>
      </c>
      <c r="W12" s="12">
        <f>DATE(2017,10,1)</f>
        <v>43009</v>
      </c>
      <c r="X12" s="15">
        <f>-SUM(S12:V12)</f>
        <v>-17231</v>
      </c>
      <c r="Y12" s="15">
        <f>SUM(E12,H12,M12)</f>
        <v>17965</v>
      </c>
      <c r="Z12" s="16">
        <f>X12+Y12</f>
        <v>734</v>
      </c>
    </row>
    <row r="13" ht="12.75" customHeight="1">
      <c r="A13" s="6">
        <v>43040</v>
      </c>
      <c r="B13" s="7">
        <f t="shared" si="0"/>
        <v>2743</v>
      </c>
      <c r="C13" s="7">
        <f>C12+RANDBETWEEN(200,500)</f>
        <v>5619</v>
      </c>
      <c r="D13" s="7"/>
      <c r="E13" s="8">
        <f>SUM(B13:D13)</f>
        <v>8362</v>
      </c>
      <c r="F13" s="7"/>
      <c r="G13" s="7"/>
      <c r="H13" s="7"/>
      <c r="I13" s="7">
        <f>7591-H13</f>
        <v>7591</v>
      </c>
      <c r="J13" s="7">
        <v>1250</v>
      </c>
      <c r="K13" s="7">
        <f>K12+100</f>
        <v>1750</v>
      </c>
      <c r="L13" s="7">
        <f>L12+125</f>
        <v>1373</v>
      </c>
      <c r="M13" s="9">
        <f>SUM(I13:L13)</f>
        <v>11964</v>
      </c>
      <c r="N13" s="7">
        <v>125</v>
      </c>
      <c r="O13" s="7">
        <f t="shared" si="3"/>
        <v>276</v>
      </c>
      <c r="P13" s="7">
        <f>C13-C12</f>
        <v>459</v>
      </c>
      <c r="Q13" s="8">
        <f>SUM(N13:P13)</f>
        <v>860</v>
      </c>
      <c r="R13" s="8">
        <f>R12+Q13</f>
        <v>11167</v>
      </c>
      <c r="S13" t="s" s="10">
        <v>26</v>
      </c>
      <c r="T13" t="s" s="10">
        <v>26</v>
      </c>
      <c r="U13" s="7">
        <f>U12-110</f>
        <v>17121</v>
      </c>
      <c r="V13" t="s" s="10">
        <v>26</v>
      </c>
      <c r="W13" s="6">
        <f>DATE(2017,11,1)</f>
        <v>43040</v>
      </c>
      <c r="X13" s="9">
        <f>-SUM(S13:V13)</f>
        <v>-17121</v>
      </c>
      <c r="Y13" s="9">
        <f>SUM(E13,H13,M13)</f>
        <v>20326</v>
      </c>
      <c r="Z13" s="11">
        <f>X13+Y13</f>
        <v>3205</v>
      </c>
    </row>
    <row r="14" ht="12.75" customHeight="1">
      <c r="A14" s="12">
        <v>43070</v>
      </c>
      <c r="B14" s="13">
        <f t="shared" si="0"/>
        <v>2883</v>
      </c>
      <c r="C14" s="13">
        <f>C13+RANDBETWEEN(200,500)</f>
        <v>5945</v>
      </c>
      <c r="D14" s="13"/>
      <c r="E14" s="14">
        <f>SUM(B14:D14)</f>
        <v>8828</v>
      </c>
      <c r="F14" s="13"/>
      <c r="G14" s="13"/>
      <c r="H14" s="13"/>
      <c r="I14" s="13">
        <f>8390-H14</f>
        <v>8390</v>
      </c>
      <c r="J14" s="13">
        <v>1250</v>
      </c>
      <c r="K14" s="13">
        <f>K13+100</f>
        <v>1850</v>
      </c>
      <c r="L14" s="13">
        <f>L13+125</f>
        <v>1498</v>
      </c>
      <c r="M14" s="15">
        <f>SUM(I14:L14)</f>
        <v>12988</v>
      </c>
      <c r="N14" s="13">
        <v>125</v>
      </c>
      <c r="O14" s="13">
        <f t="shared" si="3"/>
        <v>304</v>
      </c>
      <c r="P14" s="13">
        <f>C14-C13</f>
        <v>326</v>
      </c>
      <c r="Q14" s="14">
        <f>SUM(N14:P14)</f>
        <v>755</v>
      </c>
      <c r="R14" s="14">
        <f>R13+Q14</f>
        <v>11922</v>
      </c>
      <c r="S14" t="s" s="5">
        <v>26</v>
      </c>
      <c r="T14" t="s" s="5">
        <v>26</v>
      </c>
      <c r="U14" s="13">
        <f>U13-110</f>
        <v>17011</v>
      </c>
      <c r="V14" t="s" s="5">
        <v>26</v>
      </c>
      <c r="W14" s="12">
        <f>DATE(2017,12,1)</f>
        <v>43070</v>
      </c>
      <c r="X14" s="15">
        <f>-SUM(S14:V14)</f>
        <v>-17011</v>
      </c>
      <c r="Y14" s="15">
        <f>SUM(E14,H14,M14)</f>
        <v>21816</v>
      </c>
      <c r="Z14" s="16">
        <f>X14+Y14</f>
        <v>4805</v>
      </c>
    </row>
    <row r="15" ht="12.75" customHeight="1">
      <c r="A15" s="6">
        <v>43101</v>
      </c>
      <c r="B15" s="7">
        <f t="shared" si="0"/>
        <v>2902</v>
      </c>
      <c r="C15" s="7">
        <f>C14+RANDBETWEEN(300,600)</f>
        <v>6364</v>
      </c>
      <c r="D15" s="7"/>
      <c r="E15" s="8">
        <f>SUM(B15:D15)</f>
        <v>9266</v>
      </c>
      <c r="F15" s="7"/>
      <c r="G15" s="7"/>
      <c r="H15" s="7"/>
      <c r="I15" s="7">
        <f t="shared" si="189" ref="I15:I26">RANDBETWEEN(8000,13000)</f>
        <v>11157</v>
      </c>
      <c r="J15" s="7">
        <v>1250</v>
      </c>
      <c r="K15" s="7">
        <v>1850</v>
      </c>
      <c r="L15" s="7">
        <v>1522</v>
      </c>
      <c r="M15" s="9">
        <f>SUM(I15:L15)</f>
        <v>15779</v>
      </c>
      <c r="N15" s="7">
        <v>135</v>
      </c>
      <c r="O15" s="7">
        <f t="shared" si="191" ref="O15:O26">RANDBETWEEN(500,750)</f>
        <v>672</v>
      </c>
      <c r="P15" s="7">
        <f>C15-C14</f>
        <v>419</v>
      </c>
      <c r="Q15" s="8">
        <f>SUM(N15:P15)</f>
        <v>1226</v>
      </c>
      <c r="R15" s="8">
        <f>R14+Q15</f>
        <v>13148</v>
      </c>
      <c r="S15" t="s" s="10">
        <v>26</v>
      </c>
      <c r="T15" t="s" s="10">
        <v>26</v>
      </c>
      <c r="U15" s="7">
        <f>U14-104</f>
        <v>16907</v>
      </c>
      <c r="V15" t="s" s="10">
        <v>26</v>
      </c>
      <c r="W15" s="6">
        <f>DATE(2018,1,30)</f>
        <v>43130</v>
      </c>
      <c r="X15" s="9">
        <f>-SUM(S15:V15)</f>
        <v>-16907</v>
      </c>
      <c r="Y15" s="9">
        <f>SUM(E15,H15,M15)</f>
        <v>25045</v>
      </c>
      <c r="Z15" s="11">
        <f>X15+Y15</f>
        <v>8138</v>
      </c>
    </row>
    <row r="16" ht="12.75" customHeight="1">
      <c r="A16" s="12">
        <v>43132</v>
      </c>
      <c r="B16" s="13">
        <f t="shared" si="0"/>
        <v>2603</v>
      </c>
      <c r="C16" s="13">
        <f>C15+RANDBETWEEN(150,700)</f>
        <v>6951</v>
      </c>
      <c r="D16" s="13"/>
      <c r="E16" s="14">
        <f>SUM(B16:D16)</f>
        <v>9554</v>
      </c>
      <c r="F16" s="13"/>
      <c r="G16" s="13"/>
      <c r="H16" s="13"/>
      <c r="I16" s="13">
        <f t="shared" si="189"/>
        <v>10059</v>
      </c>
      <c r="J16" s="13">
        <f>J15*1.07</f>
        <v>1337.5</v>
      </c>
      <c r="K16" s="13">
        <f>K15*1.025</f>
        <v>1896.25</v>
      </c>
      <c r="L16" s="13">
        <f>L15+135</f>
        <v>1657</v>
      </c>
      <c r="M16" s="15">
        <f>SUM(I16:L16)</f>
        <v>14949.75</v>
      </c>
      <c r="N16" s="13">
        <v>135</v>
      </c>
      <c r="O16" s="13">
        <f t="shared" si="191"/>
        <v>556</v>
      </c>
      <c r="P16" s="13">
        <f>C16-C15</f>
        <v>587</v>
      </c>
      <c r="Q16" s="14">
        <f>SUM(N16:P16)</f>
        <v>1278</v>
      </c>
      <c r="R16" s="14">
        <f>R15+Q16</f>
        <v>14426</v>
      </c>
      <c r="S16" t="s" s="5">
        <v>26</v>
      </c>
      <c r="T16" t="s" s="5">
        <v>26</v>
      </c>
      <c r="U16" s="13">
        <f>U15-103</f>
        <v>16804</v>
      </c>
      <c r="V16" t="s" s="5">
        <v>26</v>
      </c>
      <c r="W16" s="12">
        <f>DATE(2018,2,28)</f>
        <v>43159</v>
      </c>
      <c r="X16" s="15">
        <f>-SUM(S16:V16)</f>
        <v>-16804</v>
      </c>
      <c r="Y16" s="15">
        <f>SUM(E16,H16,M16)</f>
        <v>24503.75</v>
      </c>
      <c r="Z16" s="16">
        <f>X16+Y16</f>
        <v>7699.75</v>
      </c>
    </row>
    <row r="17" ht="12.75" customHeight="1">
      <c r="A17" s="6">
        <v>43160</v>
      </c>
      <c r="B17" s="7">
        <f t="shared" si="0"/>
        <v>3015</v>
      </c>
      <c r="C17" s="7">
        <f>C16+RANDBETWEEN(150,700)</f>
        <v>7118</v>
      </c>
      <c r="D17" s="7"/>
      <c r="E17" s="8">
        <f>SUM(B17:D17)</f>
        <v>10133</v>
      </c>
      <c r="F17" s="7"/>
      <c r="G17" s="7"/>
      <c r="H17" s="7"/>
      <c r="I17" s="7">
        <f t="shared" si="189"/>
        <v>8254</v>
      </c>
      <c r="J17" s="7">
        <f>J16*1.07</f>
        <v>1431.125</v>
      </c>
      <c r="K17" s="7">
        <f>K16*1.025</f>
        <v>1943.65625</v>
      </c>
      <c r="L17" s="7">
        <f>L16+135</f>
        <v>1792</v>
      </c>
      <c r="M17" s="9">
        <f>SUM(I17:L17)</f>
        <v>13420.78125</v>
      </c>
      <c r="N17" s="7">
        <v>135</v>
      </c>
      <c r="O17" s="7">
        <f t="shared" si="191"/>
        <v>625</v>
      </c>
      <c r="P17" s="7">
        <f>C17-C16</f>
        <v>167</v>
      </c>
      <c r="Q17" s="8">
        <f>SUM(N17:P17)</f>
        <v>927</v>
      </c>
      <c r="R17" s="8">
        <f>R16+Q17</f>
        <v>15353</v>
      </c>
      <c r="S17" t="s" s="10">
        <v>26</v>
      </c>
      <c r="T17" t="s" s="10">
        <v>26</v>
      </c>
      <c r="U17" s="7">
        <f>U15-104</f>
        <v>16803</v>
      </c>
      <c r="V17" t="s" s="10">
        <v>26</v>
      </c>
      <c r="W17" s="6">
        <f>DATE(2018,3,28)</f>
        <v>43187</v>
      </c>
      <c r="X17" s="9">
        <f>-SUM(S17:V17)</f>
        <v>-16803</v>
      </c>
      <c r="Y17" s="9">
        <f>SUM(E17,H17,M17)</f>
        <v>23553.78125</v>
      </c>
      <c r="Z17" s="11">
        <f>X17+Y17</f>
        <v>6750.78125</v>
      </c>
    </row>
    <row r="18" ht="12.75" customHeight="1">
      <c r="A18" s="12">
        <v>43191</v>
      </c>
      <c r="B18" s="13">
        <f t="shared" si="0"/>
        <v>2009</v>
      </c>
      <c r="C18" s="13">
        <f>C17+RANDBETWEEN(150,700)</f>
        <v>7751</v>
      </c>
      <c r="D18" s="13"/>
      <c r="E18" s="14">
        <f>SUM(B18:D18)</f>
        <v>9760</v>
      </c>
      <c r="F18" s="13"/>
      <c r="G18" s="13"/>
      <c r="H18" s="13"/>
      <c r="I18" s="13">
        <f t="shared" si="189"/>
        <v>8211</v>
      </c>
      <c r="J18" s="13">
        <f>J17*1.07</f>
        <v>1531.30375</v>
      </c>
      <c r="K18" s="13">
        <f>K17*1.025</f>
        <v>1992.24765625</v>
      </c>
      <c r="L18" s="13">
        <f>L17+135</f>
        <v>1927</v>
      </c>
      <c r="M18" s="15">
        <f>SUM(I18:L18)</f>
        <v>13661.55140625</v>
      </c>
      <c r="N18" s="13">
        <v>135</v>
      </c>
      <c r="O18" s="13">
        <f t="shared" si="191"/>
        <v>524</v>
      </c>
      <c r="P18" s="13">
        <f>C18-C17</f>
        <v>633</v>
      </c>
      <c r="Q18" s="14">
        <f>SUM(N18:P18)</f>
        <v>1292</v>
      </c>
      <c r="R18" s="14">
        <f>R17+Q18</f>
        <v>16645</v>
      </c>
      <c r="S18" t="s" s="5">
        <v>26</v>
      </c>
      <c r="T18" t="s" s="5">
        <v>26</v>
      </c>
      <c r="U18" s="13">
        <f>U16-104</f>
        <v>16700</v>
      </c>
      <c r="V18" t="s" s="5">
        <v>26</v>
      </c>
      <c r="W18" s="12">
        <f>DATE(2018,4,28)</f>
        <v>43218</v>
      </c>
      <c r="X18" s="15">
        <f>-SUM(S18:V18)</f>
        <v>-16700</v>
      </c>
      <c r="Y18" s="15">
        <f>SUM(E18,H18,M18)</f>
        <v>23421.55140625</v>
      </c>
      <c r="Z18" s="16">
        <f>X18+Y18</f>
        <v>6721.55140625</v>
      </c>
    </row>
    <row r="19" ht="12.75" customHeight="1">
      <c r="A19" s="6">
        <v>43221</v>
      </c>
      <c r="B19" s="7">
        <f t="shared" si="0"/>
        <v>4351</v>
      </c>
      <c r="C19" s="7">
        <f>C18+RANDBETWEEN(150,700)</f>
        <v>8050</v>
      </c>
      <c r="D19" s="7"/>
      <c r="E19" s="8">
        <f>SUM(B19:D19)</f>
        <v>12401</v>
      </c>
      <c r="F19" s="7"/>
      <c r="G19" s="7"/>
      <c r="H19" s="7"/>
      <c r="I19" s="7">
        <f t="shared" si="189"/>
        <v>10610</v>
      </c>
      <c r="J19" s="7">
        <f>J18*1.07</f>
        <v>1638.4950125</v>
      </c>
      <c r="K19" s="7">
        <f>K18*1.05</f>
        <v>2091.8600390625</v>
      </c>
      <c r="L19" s="7">
        <f>L18+135</f>
        <v>2062</v>
      </c>
      <c r="M19" s="9">
        <f>SUM(I19:L19)</f>
        <v>16402.3550515625</v>
      </c>
      <c r="N19" s="7">
        <v>135</v>
      </c>
      <c r="O19" s="7">
        <f t="shared" si="191"/>
        <v>513</v>
      </c>
      <c r="P19" s="7">
        <f>C19-C18</f>
        <v>299</v>
      </c>
      <c r="Q19" s="8">
        <f>SUM(N19:P19)</f>
        <v>947</v>
      </c>
      <c r="R19" s="8">
        <f>R18+Q19</f>
        <v>17592</v>
      </c>
      <c r="S19" t="s" s="10">
        <v>26</v>
      </c>
      <c r="T19" t="s" s="10">
        <v>26</v>
      </c>
      <c r="U19" s="7">
        <f>U17-104</f>
        <v>16699</v>
      </c>
      <c r="V19" t="s" s="10">
        <v>26</v>
      </c>
      <c r="W19" s="6">
        <f>DATE(2018,5,28)</f>
        <v>43248</v>
      </c>
      <c r="X19" s="9">
        <f>-SUM(S19:V19)</f>
        <v>-16699</v>
      </c>
      <c r="Y19" s="9">
        <f>SUM(E19,H19,M19)</f>
        <v>28803.3550515625</v>
      </c>
      <c r="Z19" s="11">
        <f>X19+Y19</f>
        <v>12104.3550515625</v>
      </c>
    </row>
    <row r="20" ht="12.75" customHeight="1">
      <c r="A20" s="12">
        <v>43252</v>
      </c>
      <c r="B20" s="13">
        <f t="shared" si="0"/>
        <v>4728</v>
      </c>
      <c r="C20" s="13">
        <f>C19+RANDBETWEEN(150,700)</f>
        <v>8564</v>
      </c>
      <c r="D20" s="13"/>
      <c r="E20" s="14">
        <f>SUM(B20:D20)</f>
        <v>13292</v>
      </c>
      <c r="F20" s="13"/>
      <c r="G20" s="13"/>
      <c r="H20" s="13"/>
      <c r="I20" s="13">
        <f t="shared" si="189"/>
        <v>9076</v>
      </c>
      <c r="J20" s="13">
        <f>J19*1.07</f>
        <v>1753.189663375</v>
      </c>
      <c r="K20" s="13">
        <f>K19*1.025</f>
        <v>2144.156540039060</v>
      </c>
      <c r="L20" s="13">
        <f>L19+135</f>
        <v>2197</v>
      </c>
      <c r="M20" s="15">
        <f>SUM(I20:L20)</f>
        <v>15170.3462034141</v>
      </c>
      <c r="N20" s="13">
        <v>135</v>
      </c>
      <c r="O20" s="13">
        <f t="shared" si="191"/>
        <v>675</v>
      </c>
      <c r="P20" s="13">
        <f>C20-C19</f>
        <v>514</v>
      </c>
      <c r="Q20" s="14">
        <f>SUM(N20:P20)</f>
        <v>1324</v>
      </c>
      <c r="R20" s="14">
        <f>R19+Q20</f>
        <v>18916</v>
      </c>
      <c r="S20" t="s" s="5">
        <v>26</v>
      </c>
      <c r="T20" t="s" s="5">
        <v>26</v>
      </c>
      <c r="U20" s="13">
        <f>U18-104</f>
        <v>16596</v>
      </c>
      <c r="V20" t="s" s="5">
        <v>26</v>
      </c>
      <c r="W20" s="12">
        <f>DATE(2018,6,28)</f>
        <v>43279</v>
      </c>
      <c r="X20" s="15">
        <f>-SUM(S20:V20)</f>
        <v>-16596</v>
      </c>
      <c r="Y20" s="15">
        <f>SUM(E20,H20,M20)</f>
        <v>28462.3462034141</v>
      </c>
      <c r="Z20" s="16">
        <f>X20+Y20</f>
        <v>11866.3462034141</v>
      </c>
    </row>
    <row r="21" ht="12.75" customHeight="1">
      <c r="A21" s="6">
        <v>43282</v>
      </c>
      <c r="B21" s="7">
        <f t="shared" si="0"/>
        <v>1947</v>
      </c>
      <c r="C21" s="7">
        <f>C20+RANDBETWEEN(150,700)</f>
        <v>8750</v>
      </c>
      <c r="D21" s="7"/>
      <c r="E21" s="8">
        <f>SUM(B21:D21)</f>
        <v>10697</v>
      </c>
      <c r="F21" s="7"/>
      <c r="G21" s="7"/>
      <c r="H21" s="7"/>
      <c r="I21" s="7">
        <f t="shared" si="189"/>
        <v>12037</v>
      </c>
      <c r="J21" s="7">
        <f>J20*1.07</f>
        <v>1875.912939811250</v>
      </c>
      <c r="K21" s="7">
        <f>K20*1.025</f>
        <v>2197.760453540040</v>
      </c>
      <c r="L21" s="7">
        <f>L20+135</f>
        <v>2332</v>
      </c>
      <c r="M21" s="9">
        <f>SUM(I21:L21)</f>
        <v>18442.6733933513</v>
      </c>
      <c r="N21" s="7">
        <v>135</v>
      </c>
      <c r="O21" s="7">
        <f t="shared" si="191"/>
        <v>537</v>
      </c>
      <c r="P21" s="7">
        <f>C21-C20</f>
        <v>186</v>
      </c>
      <c r="Q21" s="8">
        <f>SUM(N21:P21)</f>
        <v>858</v>
      </c>
      <c r="R21" s="8">
        <f>R20+Q21</f>
        <v>19774</v>
      </c>
      <c r="S21" t="s" s="10">
        <v>26</v>
      </c>
      <c r="T21" t="s" s="10">
        <v>26</v>
      </c>
      <c r="U21" s="7">
        <f>U19-104</f>
        <v>16595</v>
      </c>
      <c r="V21" t="s" s="10">
        <v>26</v>
      </c>
      <c r="W21" s="6">
        <f>DATE(2018,7,28)</f>
        <v>43309</v>
      </c>
      <c r="X21" s="9">
        <f>-SUM(S21:V21)</f>
        <v>-16595</v>
      </c>
      <c r="Y21" s="9">
        <f>SUM(E21,H21,M21)</f>
        <v>29139.6733933513</v>
      </c>
      <c r="Z21" s="11">
        <f>X21+Y21</f>
        <v>12544.6733933513</v>
      </c>
    </row>
    <row r="22" ht="12.75" customHeight="1">
      <c r="A22" s="12">
        <v>43313</v>
      </c>
      <c r="B22" s="13">
        <f t="shared" si="0"/>
        <v>1603</v>
      </c>
      <c r="C22" s="13">
        <f>C21+RANDBETWEEN(150,700)</f>
        <v>9307</v>
      </c>
      <c r="D22" s="13"/>
      <c r="E22" s="14">
        <f>SUM(B22:D22)</f>
        <v>10910</v>
      </c>
      <c r="F22" s="13"/>
      <c r="G22" s="13"/>
      <c r="H22" s="13"/>
      <c r="I22" s="13">
        <f t="shared" si="189"/>
        <v>8836</v>
      </c>
      <c r="J22" s="13">
        <f>J21*1.07</f>
        <v>2007.226845598040</v>
      </c>
      <c r="K22" s="13">
        <f>K21*1.025</f>
        <v>2252.704464878540</v>
      </c>
      <c r="L22" s="13">
        <f>L21+135</f>
        <v>2467</v>
      </c>
      <c r="M22" s="15">
        <f>SUM(I22:L22)</f>
        <v>15562.9313104766</v>
      </c>
      <c r="N22" s="13">
        <v>135</v>
      </c>
      <c r="O22" s="13">
        <f t="shared" si="191"/>
        <v>672</v>
      </c>
      <c r="P22" s="13">
        <f>C22-C21</f>
        <v>557</v>
      </c>
      <c r="Q22" s="14">
        <f>SUM(N22:P22)</f>
        <v>1364</v>
      </c>
      <c r="R22" s="14">
        <f>R21+Q22</f>
        <v>21138</v>
      </c>
      <c r="S22" t="s" s="5">
        <v>26</v>
      </c>
      <c r="T22" t="s" s="5">
        <v>26</v>
      </c>
      <c r="U22" s="13">
        <f>U20-104</f>
        <v>16492</v>
      </c>
      <c r="V22" t="s" s="5">
        <v>26</v>
      </c>
      <c r="W22" s="12">
        <f>DATE(2018,8,28)</f>
        <v>43340</v>
      </c>
      <c r="X22" s="15">
        <f>-SUM(S22:V22)</f>
        <v>-16492</v>
      </c>
      <c r="Y22" s="15">
        <f>SUM(E22,H22,M22)</f>
        <v>26472.9313104766</v>
      </c>
      <c r="Z22" s="16">
        <f>X22+Y22</f>
        <v>9980.931310476601</v>
      </c>
    </row>
    <row r="23" ht="12.75" customHeight="1">
      <c r="A23" s="6">
        <v>43344</v>
      </c>
      <c r="B23" s="7">
        <f t="shared" si="0"/>
        <v>262</v>
      </c>
      <c r="C23" s="7">
        <f>C22+RANDBETWEEN(150,700)</f>
        <v>9863</v>
      </c>
      <c r="D23" s="7"/>
      <c r="E23" s="8">
        <f>SUM(B23:D23)</f>
        <v>10125</v>
      </c>
      <c r="F23" s="7"/>
      <c r="G23" s="7"/>
      <c r="H23" s="7"/>
      <c r="I23" s="7">
        <f t="shared" si="189"/>
        <v>12147</v>
      </c>
      <c r="J23" s="7">
        <f>J22*1.07</f>
        <v>2147.7327247899</v>
      </c>
      <c r="K23" s="7">
        <f>K22*1.025</f>
        <v>2309.0220765005</v>
      </c>
      <c r="L23" s="7">
        <f>L22+135</f>
        <v>2602</v>
      </c>
      <c r="M23" s="9">
        <f>SUM(I23:L23)</f>
        <v>19205.7548012904</v>
      </c>
      <c r="N23" s="7">
        <v>135</v>
      </c>
      <c r="O23" s="7">
        <f t="shared" si="191"/>
        <v>729</v>
      </c>
      <c r="P23" s="7">
        <f>C23-C22</f>
        <v>556</v>
      </c>
      <c r="Q23" s="8">
        <f>SUM(N23:P23)</f>
        <v>1420</v>
      </c>
      <c r="R23" s="8">
        <f>R22+Q23</f>
        <v>22558</v>
      </c>
      <c r="S23" t="s" s="10">
        <v>26</v>
      </c>
      <c r="T23" t="s" s="10">
        <v>26</v>
      </c>
      <c r="U23" s="7">
        <f>U21-104</f>
        <v>16491</v>
      </c>
      <c r="V23" t="s" s="10">
        <v>26</v>
      </c>
      <c r="W23" s="6">
        <f>DATE(2018,9,28)</f>
        <v>43371</v>
      </c>
      <c r="X23" s="9">
        <f>-SUM(S23:V23)</f>
        <v>-16491</v>
      </c>
      <c r="Y23" s="9">
        <f>SUM(E23,H23,M23)</f>
        <v>29330.7548012904</v>
      </c>
      <c r="Z23" s="11">
        <f>X23+Y23</f>
        <v>12839.7548012904</v>
      </c>
    </row>
    <row r="24" ht="12.75" customHeight="1">
      <c r="A24" s="12">
        <v>43374</v>
      </c>
      <c r="B24" s="13">
        <f t="shared" si="0"/>
        <v>3485</v>
      </c>
      <c r="C24" s="13">
        <f>C23+RANDBETWEEN(150,700)</f>
        <v>10287</v>
      </c>
      <c r="D24" s="13"/>
      <c r="E24" s="14">
        <f>SUM(B24:D24)</f>
        <v>13772</v>
      </c>
      <c r="F24" s="13"/>
      <c r="G24" s="13"/>
      <c r="H24" s="13"/>
      <c r="I24" s="13">
        <f t="shared" si="189"/>
        <v>9492</v>
      </c>
      <c r="J24" s="13">
        <f>J23*1.07</f>
        <v>2298.074015525190</v>
      </c>
      <c r="K24" s="13">
        <f>K23*1.025</f>
        <v>2366.747628413010</v>
      </c>
      <c r="L24" s="13">
        <f>L23+135</f>
        <v>2737</v>
      </c>
      <c r="M24" s="15">
        <f>SUM(I24:L24)</f>
        <v>16893.8216439382</v>
      </c>
      <c r="N24" s="13">
        <v>135</v>
      </c>
      <c r="O24" s="13">
        <f t="shared" si="191"/>
        <v>646</v>
      </c>
      <c r="P24" s="13">
        <f>C24-C23</f>
        <v>424</v>
      </c>
      <c r="Q24" s="14">
        <f>SUM(N24:P24)</f>
        <v>1205</v>
      </c>
      <c r="R24" s="14">
        <f>R23+Q24</f>
        <v>23763</v>
      </c>
      <c r="S24" t="s" s="5">
        <v>26</v>
      </c>
      <c r="T24" t="s" s="5">
        <v>26</v>
      </c>
      <c r="U24" s="13">
        <f>U22-104</f>
        <v>16388</v>
      </c>
      <c r="V24" t="s" s="5">
        <v>26</v>
      </c>
      <c r="W24" s="12">
        <f>DATE(2018,10,28)</f>
        <v>43401</v>
      </c>
      <c r="X24" s="15">
        <f>-SUM(S24:V24)</f>
        <v>-16388</v>
      </c>
      <c r="Y24" s="15">
        <f>SUM(E24,H24,M24)</f>
        <v>30665.8216439382</v>
      </c>
      <c r="Z24" s="16">
        <f>X24+Y24</f>
        <v>14277.8216439382</v>
      </c>
    </row>
    <row r="25" ht="12.75" customHeight="1">
      <c r="A25" s="6">
        <v>43405</v>
      </c>
      <c r="B25" s="7">
        <f t="shared" si="0"/>
        <v>3492</v>
      </c>
      <c r="C25" s="7">
        <f>C24+RANDBETWEEN(150,700)</f>
        <v>10744</v>
      </c>
      <c r="D25" s="7"/>
      <c r="E25" s="8">
        <f>SUM(B25:D25)</f>
        <v>14236</v>
      </c>
      <c r="F25" s="7"/>
      <c r="G25" s="7"/>
      <c r="H25" s="7"/>
      <c r="I25" s="7">
        <f t="shared" si="189"/>
        <v>10952</v>
      </c>
      <c r="J25" s="7">
        <f>J24*1.07</f>
        <v>2458.939196611950</v>
      </c>
      <c r="K25" s="7">
        <f>K24*1.025</f>
        <v>2425.916319123340</v>
      </c>
      <c r="L25" s="7">
        <f>L24+135</f>
        <v>2872</v>
      </c>
      <c r="M25" s="9">
        <f>SUM(I25:L25)</f>
        <v>18708.8555157353</v>
      </c>
      <c r="N25" s="7">
        <v>135</v>
      </c>
      <c r="O25" s="7">
        <f t="shared" si="191"/>
        <v>701</v>
      </c>
      <c r="P25" s="7">
        <f>C25-C24</f>
        <v>457</v>
      </c>
      <c r="Q25" s="8">
        <f>SUM(N25:P25)</f>
        <v>1293</v>
      </c>
      <c r="R25" s="8">
        <f>R24+Q25</f>
        <v>25056</v>
      </c>
      <c r="S25" t="s" s="10">
        <v>26</v>
      </c>
      <c r="T25" t="s" s="10">
        <v>26</v>
      </c>
      <c r="U25" s="7">
        <f>U23-104</f>
        <v>16387</v>
      </c>
      <c r="V25" t="s" s="10">
        <v>26</v>
      </c>
      <c r="W25" s="6">
        <f>DATE(2018,11,28)</f>
        <v>43432</v>
      </c>
      <c r="X25" s="9">
        <f>-SUM(S25:V25)</f>
        <v>-16387</v>
      </c>
      <c r="Y25" s="9">
        <f>SUM(E25,H25,M25)</f>
        <v>32944.8555157353</v>
      </c>
      <c r="Z25" s="11">
        <f>X25+Y25</f>
        <v>16557.8555157353</v>
      </c>
    </row>
    <row r="26" ht="12.75" customHeight="1">
      <c r="A26" s="12">
        <v>43435</v>
      </c>
      <c r="B26" s="13">
        <f t="shared" si="0"/>
        <v>3286</v>
      </c>
      <c r="C26" s="13">
        <f>C25+RANDBETWEEN(150,700)</f>
        <v>11098</v>
      </c>
      <c r="D26" s="13"/>
      <c r="E26" s="14">
        <f>SUM(B26:D26)</f>
        <v>14384</v>
      </c>
      <c r="F26" s="13"/>
      <c r="G26" s="13"/>
      <c r="H26" s="13"/>
      <c r="I26" s="13">
        <f t="shared" si="189"/>
        <v>9520</v>
      </c>
      <c r="J26" s="13">
        <f>J25*1.07</f>
        <v>2631.064940374790</v>
      </c>
      <c r="K26" s="13">
        <f>K25*1.025</f>
        <v>2486.564227101420</v>
      </c>
      <c r="L26" s="13">
        <f>L25+135</f>
        <v>3007</v>
      </c>
      <c r="M26" s="15">
        <f>SUM(I26:L26)</f>
        <v>17644.6291674762</v>
      </c>
      <c r="N26" s="13">
        <v>135</v>
      </c>
      <c r="O26" s="13">
        <f t="shared" si="191"/>
        <v>709</v>
      </c>
      <c r="P26" s="13">
        <f>C26-C25</f>
        <v>354</v>
      </c>
      <c r="Q26" s="14">
        <f>SUM(N26:P26)</f>
        <v>1198</v>
      </c>
      <c r="R26" s="14">
        <f>R25+Q26</f>
        <v>26254</v>
      </c>
      <c r="S26" t="s" s="5">
        <v>26</v>
      </c>
      <c r="T26" t="s" s="5">
        <v>26</v>
      </c>
      <c r="U26" s="13">
        <f>U24-104</f>
        <v>16284</v>
      </c>
      <c r="V26" t="s" s="5">
        <v>26</v>
      </c>
      <c r="W26" s="12">
        <f>DATE(2018,12,28)</f>
        <v>43462</v>
      </c>
      <c r="X26" s="15">
        <f>-SUM(S26:V26)</f>
        <v>-16284</v>
      </c>
      <c r="Y26" s="15">
        <f>SUM(E26,H26,M26)</f>
        <v>32028.6291674762</v>
      </c>
      <c r="Z26" s="16">
        <f>X26+Y26</f>
        <v>15744.6291674762</v>
      </c>
    </row>
    <row r="27" ht="12.75" customHeight="1">
      <c r="A27" s="6">
        <v>43466</v>
      </c>
      <c r="B27" s="7">
        <f t="shared" si="0"/>
        <v>2171</v>
      </c>
      <c r="C27" s="7">
        <f>C25+RANDBETWEEN(250,750)</f>
        <v>11127</v>
      </c>
      <c r="D27" s="7"/>
      <c r="E27" s="8">
        <f>SUM(B27:D27)</f>
        <v>13298</v>
      </c>
      <c r="F27" s="7"/>
      <c r="G27" s="7"/>
      <c r="H27" s="7"/>
      <c r="I27" s="7">
        <v>9000</v>
      </c>
      <c r="J27" s="7">
        <f>2783</f>
        <v>2783</v>
      </c>
      <c r="K27" s="7">
        <v>2427</v>
      </c>
      <c r="L27" s="7">
        <v>3012</v>
      </c>
      <c r="M27" s="9">
        <f>SUM(I27:L27)</f>
        <v>17222</v>
      </c>
      <c r="N27" s="7">
        <v>102</v>
      </c>
      <c r="O27" s="7">
        <f t="shared" si="392" ref="O27:O38">RANDBETWEEN(750,1500)</f>
        <v>1300</v>
      </c>
      <c r="P27" s="7">
        <f>C27-C26</f>
        <v>29</v>
      </c>
      <c r="Q27" s="8">
        <f>SUM(N27:P27)</f>
        <v>1431</v>
      </c>
      <c r="R27" s="8">
        <f>R26+Q27</f>
        <v>27685</v>
      </c>
      <c r="S27" t="s" s="10">
        <v>26</v>
      </c>
      <c r="T27" t="s" s="10">
        <v>26</v>
      </c>
      <c r="U27" s="7">
        <f>16284-99</f>
        <v>16185</v>
      </c>
      <c r="V27" t="s" s="10">
        <v>26</v>
      </c>
      <c r="W27" s="6">
        <f>DATE(2019,1,28)</f>
        <v>43493</v>
      </c>
      <c r="X27" s="9">
        <f>-SUM(S27:V27)</f>
        <v>-16185</v>
      </c>
      <c r="Y27" s="9">
        <f>SUM(E27,H27,M27)</f>
        <v>30520</v>
      </c>
      <c r="Z27" s="11">
        <f>X27+Y27</f>
        <v>14335</v>
      </c>
    </row>
    <row r="28" ht="12.75" customHeight="1">
      <c r="A28" s="12">
        <v>43497</v>
      </c>
      <c r="B28" s="13">
        <f t="shared" si="0"/>
        <v>625</v>
      </c>
      <c r="C28" s="13">
        <f>C27+RANDBETWEEN(300,800)</f>
        <v>11916</v>
      </c>
      <c r="D28" s="13"/>
      <c r="E28" s="14">
        <f>SUM(B28:D28)</f>
        <v>12541</v>
      </c>
      <c r="F28" s="13"/>
      <c r="G28" s="13"/>
      <c r="H28" s="13"/>
      <c r="I28" s="13">
        <f>I27*1.08</f>
        <v>9720</v>
      </c>
      <c r="J28" s="13">
        <f>J27*1.09</f>
        <v>3033.47</v>
      </c>
      <c r="K28" s="13">
        <f>K27*1.06</f>
        <v>2572.62</v>
      </c>
      <c r="L28" s="13">
        <f>L27+102</f>
        <v>3114</v>
      </c>
      <c r="M28" s="15">
        <f>SUM(I28:L28)</f>
        <v>18440.09</v>
      </c>
      <c r="N28" s="13">
        <v>102</v>
      </c>
      <c r="O28" s="13">
        <f t="shared" si="392"/>
        <v>786</v>
      </c>
      <c r="P28" s="13">
        <f>C28-C27</f>
        <v>789</v>
      </c>
      <c r="Q28" s="14">
        <f>SUM(N28:P28)</f>
        <v>1677</v>
      </c>
      <c r="R28" s="14">
        <f>R27+Q28</f>
        <v>29362</v>
      </c>
      <c r="S28" t="s" s="5">
        <v>26</v>
      </c>
      <c r="T28" t="s" s="5">
        <v>26</v>
      </c>
      <c r="U28" s="13">
        <f>U27-99</f>
        <v>16086</v>
      </c>
      <c r="V28" t="s" s="5">
        <v>26</v>
      </c>
      <c r="W28" s="12">
        <f>DATE(2019,2,28)</f>
        <v>43524</v>
      </c>
      <c r="X28" s="15">
        <f>-SUM(S28:V28)</f>
        <v>-16086</v>
      </c>
      <c r="Y28" s="15">
        <f>SUM(E28,H28,M28)</f>
        <v>30981.09</v>
      </c>
      <c r="Z28" s="16">
        <f>X28+Y28</f>
        <v>14895.09</v>
      </c>
    </row>
    <row r="29" ht="12.75" customHeight="1">
      <c r="A29" s="6">
        <v>43525</v>
      </c>
      <c r="B29" s="7">
        <f t="shared" si="0"/>
        <v>633</v>
      </c>
      <c r="C29" s="7">
        <f>C28+RANDBETWEEN(300,800)</f>
        <v>12248</v>
      </c>
      <c r="D29" s="7"/>
      <c r="E29" s="8">
        <f>SUM(B29:D29)</f>
        <v>12881</v>
      </c>
      <c r="F29" s="7"/>
      <c r="G29" s="7"/>
      <c r="H29" s="7"/>
      <c r="I29" s="7">
        <f>I28*1.08</f>
        <v>10497.6</v>
      </c>
      <c r="J29" s="7">
        <f>J28*1.09</f>
        <v>3306.4823</v>
      </c>
      <c r="K29" s="7">
        <f>K28*1.03</f>
        <v>2649.7986</v>
      </c>
      <c r="L29" s="7">
        <f>L28+102</f>
        <v>3216</v>
      </c>
      <c r="M29" s="9">
        <f>SUM(I29:L29)</f>
        <v>19669.8809</v>
      </c>
      <c r="N29" s="7">
        <v>102</v>
      </c>
      <c r="O29" s="7">
        <f t="shared" si="392"/>
        <v>1118</v>
      </c>
      <c r="P29" s="7">
        <f>C29-C28</f>
        <v>332</v>
      </c>
      <c r="Q29" s="8">
        <f>SUM(N29:P29)</f>
        <v>1552</v>
      </c>
      <c r="R29" s="8">
        <f>R28+Q29</f>
        <v>30914</v>
      </c>
      <c r="S29" t="s" s="10">
        <v>26</v>
      </c>
      <c r="T29" t="s" s="10">
        <v>26</v>
      </c>
      <c r="U29" s="7">
        <f>U28-99</f>
        <v>15987</v>
      </c>
      <c r="V29" t="s" s="10">
        <v>26</v>
      </c>
      <c r="W29" s="6">
        <f>DATE(2019,3,28)</f>
        <v>43552</v>
      </c>
      <c r="X29" s="9">
        <f>-SUM(S29:V29)</f>
        <v>-15987</v>
      </c>
      <c r="Y29" s="9">
        <f>SUM(E29,H29,M29)</f>
        <v>32550.8809</v>
      </c>
      <c r="Z29" s="11">
        <f>X29+Y29</f>
        <v>16563.8809</v>
      </c>
    </row>
    <row r="30" ht="12.75" customHeight="1">
      <c r="A30" s="12">
        <v>43556</v>
      </c>
      <c r="B30" s="13">
        <f t="shared" si="0"/>
        <v>1845</v>
      </c>
      <c r="C30" s="13">
        <f>C29+RANDBETWEEN(300,800)</f>
        <v>12745</v>
      </c>
      <c r="D30" s="13"/>
      <c r="E30" s="14">
        <f>SUM(B30:D30)</f>
        <v>14590</v>
      </c>
      <c r="F30" s="13"/>
      <c r="G30" s="13"/>
      <c r="H30" s="13"/>
      <c r="I30" s="13">
        <f>I29*1.08</f>
        <v>11337.408</v>
      </c>
      <c r="J30" s="13">
        <f>J29*1.09</f>
        <v>3604.065707</v>
      </c>
      <c r="K30" s="13">
        <f>K29*1.03</f>
        <v>2729.292558</v>
      </c>
      <c r="L30" s="13">
        <f>L29+102</f>
        <v>3318</v>
      </c>
      <c r="M30" s="15">
        <f>SUM(I30:L30)</f>
        <v>20988.766265</v>
      </c>
      <c r="N30" s="13">
        <v>102</v>
      </c>
      <c r="O30" s="13">
        <f t="shared" si="392"/>
        <v>810</v>
      </c>
      <c r="P30" s="13">
        <f>C30-C29</f>
        <v>497</v>
      </c>
      <c r="Q30" s="14">
        <f>SUM(N30:P30)</f>
        <v>1409</v>
      </c>
      <c r="R30" s="14">
        <f>R29+Q30</f>
        <v>32323</v>
      </c>
      <c r="S30" t="s" s="5">
        <v>26</v>
      </c>
      <c r="T30" t="s" s="5">
        <v>26</v>
      </c>
      <c r="U30" s="13">
        <f>U29-99</f>
        <v>15888</v>
      </c>
      <c r="V30" t="s" s="5">
        <v>26</v>
      </c>
      <c r="W30" s="12">
        <f>DATE(2019,4,28)</f>
        <v>43583</v>
      </c>
      <c r="X30" s="15">
        <f>-SUM(S30:V30)</f>
        <v>-15888</v>
      </c>
      <c r="Y30" s="15">
        <f>SUM(E30,H30,M30)</f>
        <v>35578.766265</v>
      </c>
      <c r="Z30" s="16">
        <f>X30+Y30</f>
        <v>19690.766265</v>
      </c>
    </row>
    <row r="31" ht="12.75" customHeight="1">
      <c r="A31" s="6">
        <v>43586</v>
      </c>
      <c r="B31" s="7">
        <f t="shared" si="0"/>
        <v>4144</v>
      </c>
      <c r="C31" s="7">
        <f>C30+RANDBETWEEN(300,800)</f>
        <v>13090</v>
      </c>
      <c r="D31" s="7"/>
      <c r="E31" s="8">
        <f>SUM(B31:D31)</f>
        <v>17234</v>
      </c>
      <c r="F31" s="7"/>
      <c r="G31" s="7"/>
      <c r="H31" s="7"/>
      <c r="I31" s="7">
        <f>I30*1.08</f>
        <v>12244.40064</v>
      </c>
      <c r="J31" s="7">
        <f>J30*1.09</f>
        <v>3928.43162063</v>
      </c>
      <c r="K31" s="7">
        <f>K30*1.03</f>
        <v>2811.17133474</v>
      </c>
      <c r="L31" s="7">
        <f>L30+102</f>
        <v>3420</v>
      </c>
      <c r="M31" s="9">
        <f>SUM(I31:L31)</f>
        <v>22404.00359537</v>
      </c>
      <c r="N31" s="7">
        <v>102</v>
      </c>
      <c r="O31" s="7">
        <f t="shared" si="392"/>
        <v>1294</v>
      </c>
      <c r="P31" s="7">
        <f>C31-C30</f>
        <v>345</v>
      </c>
      <c r="Q31" s="8">
        <f>SUM(N31:P31)</f>
        <v>1741</v>
      </c>
      <c r="R31" s="8">
        <f>R30+Q31</f>
        <v>34064</v>
      </c>
      <c r="S31" t="s" s="10">
        <v>26</v>
      </c>
      <c r="T31" t="s" s="10">
        <v>26</v>
      </c>
      <c r="U31" s="7">
        <f>U30-99</f>
        <v>15789</v>
      </c>
      <c r="V31" t="s" s="10">
        <v>26</v>
      </c>
      <c r="W31" s="6">
        <f>DATE(2019,5,28)</f>
        <v>43613</v>
      </c>
      <c r="X31" s="9">
        <f>-SUM(S31:V31)</f>
        <v>-15789</v>
      </c>
      <c r="Y31" s="9">
        <f>SUM(E31,H31,M31)</f>
        <v>39638.00359537</v>
      </c>
      <c r="Z31" s="11">
        <f>X31+Y31</f>
        <v>23849.00359537</v>
      </c>
    </row>
    <row r="32" ht="12.75" customHeight="1">
      <c r="A32" s="12">
        <v>43617</v>
      </c>
      <c r="B32" s="13">
        <f t="shared" si="0"/>
        <v>4805</v>
      </c>
      <c r="C32" s="13">
        <f>C31+RANDBETWEEN(300,800)</f>
        <v>13709</v>
      </c>
      <c r="D32" s="13"/>
      <c r="E32" s="14">
        <f>SUM(B32:D32)</f>
        <v>18514</v>
      </c>
      <c r="F32" s="13"/>
      <c r="G32" s="13"/>
      <c r="H32" s="13"/>
      <c r="I32" s="13">
        <f>I31*1.08</f>
        <v>13223.9526912</v>
      </c>
      <c r="J32" s="13">
        <f>J31*1.09</f>
        <v>4281.9904664867</v>
      </c>
      <c r="K32" s="13">
        <f>K31*1.03</f>
        <v>2895.5064747822</v>
      </c>
      <c r="L32" s="13">
        <f>L31+102</f>
        <v>3522</v>
      </c>
      <c r="M32" s="15">
        <f>SUM(I32:L32)</f>
        <v>23923.4496324689</v>
      </c>
      <c r="N32" s="13">
        <v>102</v>
      </c>
      <c r="O32" s="13">
        <f t="shared" si="392"/>
        <v>804</v>
      </c>
      <c r="P32" s="13">
        <f>C32-C31</f>
        <v>619</v>
      </c>
      <c r="Q32" s="14">
        <f>SUM(N32:P32)</f>
        <v>1525</v>
      </c>
      <c r="R32" s="14">
        <f>R31+Q32</f>
        <v>35589</v>
      </c>
      <c r="S32" t="s" s="5">
        <v>26</v>
      </c>
      <c r="T32" t="s" s="5">
        <v>26</v>
      </c>
      <c r="U32" s="13">
        <f>U31-99</f>
        <v>15690</v>
      </c>
      <c r="V32" t="s" s="5">
        <v>26</v>
      </c>
      <c r="W32" s="12">
        <f>DATE(2019,6,28)</f>
        <v>43644</v>
      </c>
      <c r="X32" s="15">
        <f>-SUM(S32:V32)</f>
        <v>-15690</v>
      </c>
      <c r="Y32" s="15">
        <f>SUM(E32,H32,M32)</f>
        <v>42437.4496324689</v>
      </c>
      <c r="Z32" s="16">
        <f>X32+Y32</f>
        <v>26747.4496324689</v>
      </c>
    </row>
    <row r="33" ht="12.75" customHeight="1">
      <c r="A33" s="6">
        <v>43647</v>
      </c>
      <c r="B33" s="7">
        <f t="shared" si="0"/>
        <v>4012</v>
      </c>
      <c r="C33" s="7">
        <f>C32+RANDBETWEEN(300,800)</f>
        <v>14418</v>
      </c>
      <c r="D33" s="7"/>
      <c r="E33" s="8">
        <f>SUM(B33:D33)</f>
        <v>18430</v>
      </c>
      <c r="F33" s="7"/>
      <c r="G33" s="7"/>
      <c r="H33" s="7"/>
      <c r="I33" s="7">
        <f>I32*1.08</f>
        <v>14281.868906496</v>
      </c>
      <c r="J33" s="7">
        <f>J32*1.09</f>
        <v>4667.3696084705</v>
      </c>
      <c r="K33" s="7">
        <f>K32*1.03</f>
        <v>2982.371669025670</v>
      </c>
      <c r="L33" s="7">
        <f>L32+102</f>
        <v>3624</v>
      </c>
      <c r="M33" s="9">
        <f>SUM(I33:L33)</f>
        <v>25555.6101839922</v>
      </c>
      <c r="N33" s="7">
        <v>102</v>
      </c>
      <c r="O33" s="7">
        <f t="shared" si="392"/>
        <v>956</v>
      </c>
      <c r="P33" s="7">
        <f>C33-C32</f>
        <v>709</v>
      </c>
      <c r="Q33" s="8">
        <f>SUM(N33:P33)</f>
        <v>1767</v>
      </c>
      <c r="R33" s="8">
        <f>R32+Q33</f>
        <v>37356</v>
      </c>
      <c r="S33" t="s" s="10">
        <v>26</v>
      </c>
      <c r="T33" t="s" s="10">
        <v>26</v>
      </c>
      <c r="U33" s="7">
        <f>U32-99</f>
        <v>15591</v>
      </c>
      <c r="V33" t="s" s="10">
        <v>26</v>
      </c>
      <c r="W33" s="6">
        <f>DATE(2019,7,28)</f>
        <v>43674</v>
      </c>
      <c r="X33" s="9">
        <f>-SUM(S33:V33)</f>
        <v>-15591</v>
      </c>
      <c r="Y33" s="9">
        <f>SUM(E33,H33,M33)</f>
        <v>43985.6101839922</v>
      </c>
      <c r="Z33" s="11">
        <f>X33+Y33</f>
        <v>28394.6101839922</v>
      </c>
    </row>
    <row r="34" ht="12.75" customHeight="1">
      <c r="A34" s="12">
        <v>43678</v>
      </c>
      <c r="B34" s="13">
        <f t="shared" si="0"/>
        <v>2351</v>
      </c>
      <c r="C34" s="13">
        <f>C33+RANDBETWEEN(300,800)</f>
        <v>14763</v>
      </c>
      <c r="D34" s="13"/>
      <c r="E34" s="14">
        <f>SUM(B34:D34)</f>
        <v>17114</v>
      </c>
      <c r="F34" s="13"/>
      <c r="G34" s="13"/>
      <c r="H34" s="13"/>
      <c r="I34" s="13">
        <f>I33*1.08</f>
        <v>15424.4184190157</v>
      </c>
      <c r="J34" s="13">
        <f>J33*1.09</f>
        <v>5087.432873232850</v>
      </c>
      <c r="K34" s="13">
        <f>K33*1.03</f>
        <v>3071.842819096440</v>
      </c>
      <c r="L34" s="13">
        <f>L33+102</f>
        <v>3726</v>
      </c>
      <c r="M34" s="15">
        <f>SUM(I34:L34)</f>
        <v>27309.694111345</v>
      </c>
      <c r="N34" s="13">
        <v>102</v>
      </c>
      <c r="O34" s="13">
        <f t="shared" si="392"/>
        <v>835</v>
      </c>
      <c r="P34" s="13">
        <f>C34-C33</f>
        <v>345</v>
      </c>
      <c r="Q34" s="14">
        <f>SUM(N34:P34)</f>
        <v>1282</v>
      </c>
      <c r="R34" s="14">
        <f>R33+Q34</f>
        <v>38638</v>
      </c>
      <c r="S34" t="s" s="5">
        <v>26</v>
      </c>
      <c r="T34" t="s" s="5">
        <v>26</v>
      </c>
      <c r="U34" s="13">
        <f>U33-99</f>
        <v>15492</v>
      </c>
      <c r="V34" t="s" s="5">
        <v>26</v>
      </c>
      <c r="W34" s="12">
        <f>DATE(2019,8,28)</f>
        <v>43705</v>
      </c>
      <c r="X34" s="15">
        <f>-SUM(S34:V34)</f>
        <v>-15492</v>
      </c>
      <c r="Y34" s="15">
        <f>SUM(E34,H34,M34)</f>
        <v>44423.694111345</v>
      </c>
      <c r="Z34" s="16">
        <f>X34+Y34</f>
        <v>28931.694111345</v>
      </c>
    </row>
    <row r="35" ht="12.75" customHeight="1">
      <c r="A35" s="6">
        <v>43709</v>
      </c>
      <c r="B35" s="7">
        <f t="shared" si="0"/>
        <v>172</v>
      </c>
      <c r="C35" s="7">
        <f>C34+RANDBETWEEN(300,800)</f>
        <v>15488</v>
      </c>
      <c r="D35" s="7"/>
      <c r="E35" s="8">
        <f>SUM(B35:D35)</f>
        <v>15660</v>
      </c>
      <c r="F35" s="7"/>
      <c r="G35" s="7"/>
      <c r="H35" s="7"/>
      <c r="I35" s="7">
        <f>I34*1.08</f>
        <v>16658.371892537</v>
      </c>
      <c r="J35" s="7">
        <f>J34*1.09</f>
        <v>5545.301831823810</v>
      </c>
      <c r="K35" s="7">
        <f>K34*1.03</f>
        <v>3163.998103669330</v>
      </c>
      <c r="L35" s="7">
        <f>L34+102</f>
        <v>3828</v>
      </c>
      <c r="M35" s="9">
        <f>SUM(I35:L35)</f>
        <v>29195.6718280301</v>
      </c>
      <c r="N35" s="7">
        <v>102</v>
      </c>
      <c r="O35" s="7">
        <f t="shared" si="392"/>
        <v>961</v>
      </c>
      <c r="P35" s="7">
        <f>C35-C34</f>
        <v>725</v>
      </c>
      <c r="Q35" s="8">
        <f>SUM(N35:P35)</f>
        <v>1788</v>
      </c>
      <c r="R35" s="8">
        <f>R34+Q35</f>
        <v>40426</v>
      </c>
      <c r="S35" t="s" s="10">
        <v>26</v>
      </c>
      <c r="T35" t="s" s="10">
        <v>26</v>
      </c>
      <c r="U35" s="7">
        <f>U34-99</f>
        <v>15393</v>
      </c>
      <c r="V35" t="s" s="10">
        <v>26</v>
      </c>
      <c r="W35" s="6">
        <f>DATE(2019,9,28)</f>
        <v>43736</v>
      </c>
      <c r="X35" s="9">
        <f>-SUM(S35:V35)</f>
        <v>-15393</v>
      </c>
      <c r="Y35" s="9">
        <f>SUM(E35,H35,M35)</f>
        <v>44855.6718280301</v>
      </c>
      <c r="Z35" s="11">
        <f>X35+Y35</f>
        <v>29462.6718280301</v>
      </c>
    </row>
    <row r="36" ht="12.75" customHeight="1">
      <c r="A36" s="12">
        <v>43739</v>
      </c>
      <c r="B36" s="13">
        <f t="shared" si="0"/>
        <v>3181</v>
      </c>
      <c r="C36" s="13">
        <f>C35+RANDBETWEEN(300,800)</f>
        <v>15849</v>
      </c>
      <c r="D36" s="13"/>
      <c r="E36" s="14">
        <f>SUM(B36:D36)</f>
        <v>19030</v>
      </c>
      <c r="F36" s="13"/>
      <c r="G36" s="13"/>
      <c r="H36" s="13"/>
      <c r="I36" s="13">
        <f>I35*1.08</f>
        <v>17991.04164394</v>
      </c>
      <c r="J36" s="13">
        <f>J35*1.09</f>
        <v>6044.378996687950</v>
      </c>
      <c r="K36" s="13">
        <f>K35*1.03</f>
        <v>3258.918046779410</v>
      </c>
      <c r="L36" s="13">
        <f>L35+102</f>
        <v>3930</v>
      </c>
      <c r="M36" s="15">
        <f>SUM(I36:L36)</f>
        <v>31224.3386874074</v>
      </c>
      <c r="N36" s="13">
        <v>102</v>
      </c>
      <c r="O36" s="13">
        <f t="shared" si="392"/>
        <v>1002</v>
      </c>
      <c r="P36" s="13">
        <f>C36-C35</f>
        <v>361</v>
      </c>
      <c r="Q36" s="14">
        <f>SUM(N36:P36)</f>
        <v>1465</v>
      </c>
      <c r="R36" s="14">
        <f>R35+Q36</f>
        <v>41891</v>
      </c>
      <c r="S36" t="s" s="5">
        <v>26</v>
      </c>
      <c r="T36" t="s" s="5">
        <v>26</v>
      </c>
      <c r="U36" s="13">
        <f>U35-99</f>
        <v>15294</v>
      </c>
      <c r="V36" t="s" s="5">
        <v>26</v>
      </c>
      <c r="W36" s="12">
        <f>DATE(2019,10,28)</f>
        <v>43766</v>
      </c>
      <c r="X36" s="15">
        <f>-SUM(S36:V36)</f>
        <v>-15294</v>
      </c>
      <c r="Y36" s="15">
        <f>SUM(E36,H36,M36)</f>
        <v>50254.3386874074</v>
      </c>
      <c r="Z36" s="16">
        <f>X36+Y36</f>
        <v>34960.3386874074</v>
      </c>
    </row>
    <row r="37" ht="12.75" customHeight="1">
      <c r="A37" s="6">
        <v>43770</v>
      </c>
      <c r="B37" s="7">
        <f t="shared" si="0"/>
        <v>249</v>
      </c>
      <c r="C37" s="7">
        <f>C36+RANDBETWEEN(300,800)</f>
        <v>16163</v>
      </c>
      <c r="D37" s="7"/>
      <c r="E37" s="8">
        <f>SUM(B37:D37)</f>
        <v>16412</v>
      </c>
      <c r="F37" s="7"/>
      <c r="G37" s="7"/>
      <c r="H37" s="7"/>
      <c r="I37" s="7">
        <f>I36*1.08</f>
        <v>19430.3249754552</v>
      </c>
      <c r="J37" s="7">
        <f>J36*1.09</f>
        <v>6588.373106389870</v>
      </c>
      <c r="K37" s="7">
        <f>K36*1.03</f>
        <v>3356.685588182790</v>
      </c>
      <c r="L37" s="7">
        <f>L36+102</f>
        <v>4032</v>
      </c>
      <c r="M37" s="9">
        <f>SUM(I37:L37)</f>
        <v>33407.3836700279</v>
      </c>
      <c r="N37" s="7">
        <v>102</v>
      </c>
      <c r="O37" s="7">
        <f t="shared" si="392"/>
        <v>1000</v>
      </c>
      <c r="P37" s="7">
        <f>C37-C36</f>
        <v>314</v>
      </c>
      <c r="Q37" s="8">
        <f>SUM(N37:P37)</f>
        <v>1416</v>
      </c>
      <c r="R37" s="8">
        <f>R36+Q37</f>
        <v>43307</v>
      </c>
      <c r="S37" t="s" s="10">
        <v>26</v>
      </c>
      <c r="T37" t="s" s="10">
        <v>26</v>
      </c>
      <c r="U37" s="7">
        <f>U36-99</f>
        <v>15195</v>
      </c>
      <c r="V37" t="s" s="10">
        <v>26</v>
      </c>
      <c r="W37" s="6">
        <f>DATE(2019,11,28)</f>
        <v>43797</v>
      </c>
      <c r="X37" s="9">
        <f>-SUM(S37:V37)</f>
        <v>-15195</v>
      </c>
      <c r="Y37" s="9">
        <f>SUM(E37,H37,M37)</f>
        <v>49819.3836700279</v>
      </c>
      <c r="Z37" s="11">
        <f>X37+Y37</f>
        <v>34624.3836700279</v>
      </c>
    </row>
    <row r="38" ht="12.75" customHeight="1">
      <c r="A38" s="12">
        <v>43800</v>
      </c>
      <c r="B38" s="13">
        <f t="shared" si="0"/>
        <v>2299</v>
      </c>
      <c r="C38" s="13">
        <f>C37+RANDBETWEEN(300,800)</f>
        <v>16854</v>
      </c>
      <c r="D38" s="13"/>
      <c r="E38" s="14">
        <f>SUM(B38:D38)</f>
        <v>19153</v>
      </c>
      <c r="F38" s="13"/>
      <c r="G38" s="13"/>
      <c r="H38" s="13"/>
      <c r="I38" s="13">
        <f>I37*1.08</f>
        <v>20984.7509734916</v>
      </c>
      <c r="J38" s="13">
        <f>J37*1.09</f>
        <v>7181.326685964960</v>
      </c>
      <c r="K38" s="13">
        <f>K37*1.03</f>
        <v>3457.386155828270</v>
      </c>
      <c r="L38" s="13">
        <f>L37+102</f>
        <v>4134</v>
      </c>
      <c r="M38" s="15">
        <f>SUM(I38:L38)</f>
        <v>35757.4638152848</v>
      </c>
      <c r="N38" s="13">
        <v>102</v>
      </c>
      <c r="O38" s="13">
        <f t="shared" si="392"/>
        <v>1084</v>
      </c>
      <c r="P38" s="13">
        <f>C38-C37</f>
        <v>691</v>
      </c>
      <c r="Q38" s="14">
        <f>SUM(N38:P38)</f>
        <v>1877</v>
      </c>
      <c r="R38" s="14">
        <f>R37+Q38</f>
        <v>45184</v>
      </c>
      <c r="S38" t="s" s="5">
        <v>26</v>
      </c>
      <c r="T38" t="s" s="5">
        <v>26</v>
      </c>
      <c r="U38" s="13">
        <f>U37-99</f>
        <v>15096</v>
      </c>
      <c r="V38" t="s" s="5">
        <v>26</v>
      </c>
      <c r="W38" s="12">
        <f>DATE(2019,12,28)</f>
        <v>43827</v>
      </c>
      <c r="X38" s="15">
        <f>-SUM(S38:V38)</f>
        <v>-15096</v>
      </c>
      <c r="Y38" s="15">
        <f>SUM(E38,H38,M38)</f>
        <v>54910.4638152848</v>
      </c>
      <c r="Z38" s="16">
        <f>X38+Y38</f>
        <v>39814.4638152848</v>
      </c>
    </row>
    <row r="39" ht="12.75" customHeight="1">
      <c r="A39" s="6">
        <v>43831</v>
      </c>
      <c r="B39" s="7">
        <f t="shared" si="0"/>
        <v>2287</v>
      </c>
      <c r="C39" s="7">
        <f>C38+RANDBETWEEN(250,550)</f>
        <v>17298</v>
      </c>
      <c r="D39" s="7"/>
      <c r="E39" s="8">
        <f>SUM(B39:D39)</f>
        <v>19585</v>
      </c>
      <c r="F39" s="7"/>
      <c r="G39" s="7"/>
      <c r="H39" s="7"/>
      <c r="I39" s="7">
        <v>21744</v>
      </c>
      <c r="J39" s="7">
        <v>6922</v>
      </c>
      <c r="K39" s="7">
        <v>3742</v>
      </c>
      <c r="L39" s="7">
        <v>4245</v>
      </c>
      <c r="M39" s="9">
        <f>SUM(I39:L39)</f>
        <v>36653</v>
      </c>
      <c r="N39" s="7">
        <v>132</v>
      </c>
      <c r="O39" s="7">
        <f t="shared" si="592" ref="O39:O50">RANDBETWEEN(1000,1750)</f>
        <v>1493</v>
      </c>
      <c r="P39" s="7">
        <f>C39-C38</f>
        <v>444</v>
      </c>
      <c r="Q39" s="8">
        <f>SUM(N39:P39)</f>
        <v>2069</v>
      </c>
      <c r="R39" s="8">
        <f>R38+Q39</f>
        <v>47253</v>
      </c>
      <c r="S39" t="s" s="10">
        <v>26</v>
      </c>
      <c r="T39" t="s" s="10">
        <v>26</v>
      </c>
      <c r="U39" s="7">
        <f>15096-93</f>
        <v>15003</v>
      </c>
      <c r="V39" t="s" s="10">
        <v>26</v>
      </c>
      <c r="W39" s="6">
        <f>DATE(2020,1,28)</f>
        <v>43858</v>
      </c>
      <c r="X39" s="9">
        <f>-SUM(S39:V39)</f>
        <v>-15003</v>
      </c>
      <c r="Y39" s="9">
        <f>SUM(E39,H39,M39)</f>
        <v>56238</v>
      </c>
      <c r="Z39" s="11">
        <f>X39+Y39</f>
        <v>41235</v>
      </c>
    </row>
    <row r="40" ht="12.75" customHeight="1">
      <c r="A40" s="12">
        <v>43862</v>
      </c>
      <c r="B40" s="13">
        <f t="shared" si="0"/>
        <v>1336</v>
      </c>
      <c r="C40" s="13">
        <f>C39+RANDBETWEEN(250,500)</f>
        <v>17576</v>
      </c>
      <c r="D40" s="13"/>
      <c r="E40" s="14">
        <f>SUM(B40:D40)</f>
        <v>18912</v>
      </c>
      <c r="F40" s="13"/>
      <c r="G40" s="13"/>
      <c r="H40" s="13"/>
      <c r="I40" s="13">
        <v>22199</v>
      </c>
      <c r="J40" s="13">
        <v>7833</v>
      </c>
      <c r="K40" s="13">
        <f>K39*1.015</f>
        <v>3798.13</v>
      </c>
      <c r="L40" s="13">
        <f>L39+132</f>
        <v>4377</v>
      </c>
      <c r="M40" s="15">
        <f>SUM(I40:L40)</f>
        <v>38207.13</v>
      </c>
      <c r="N40" s="13">
        <v>132</v>
      </c>
      <c r="O40" s="13">
        <f t="shared" si="592"/>
        <v>1362</v>
      </c>
      <c r="P40" s="13">
        <f>C40-C39</f>
        <v>278</v>
      </c>
      <c r="Q40" s="14">
        <f>SUM(N40:P40)</f>
        <v>1772</v>
      </c>
      <c r="R40" s="14">
        <f>R39+Q40</f>
        <v>49025</v>
      </c>
      <c r="S40" t="s" s="5">
        <v>26</v>
      </c>
      <c r="T40" t="s" s="5">
        <v>26</v>
      </c>
      <c r="U40" s="13">
        <f>U39-89</f>
        <v>14914</v>
      </c>
      <c r="V40" t="s" s="5">
        <v>26</v>
      </c>
      <c r="W40" s="12">
        <f>DATE(2020,2,28)</f>
        <v>43889</v>
      </c>
      <c r="X40" s="15">
        <f>-SUM(S40:V40)</f>
        <v>-14914</v>
      </c>
      <c r="Y40" s="15">
        <f>SUM(E40,H40,M40)</f>
        <v>57119.13</v>
      </c>
      <c r="Z40" s="16">
        <f>X40+Y40</f>
        <v>42205.13</v>
      </c>
    </row>
    <row r="41" ht="12.75" customHeight="1">
      <c r="A41" s="6">
        <v>43891</v>
      </c>
      <c r="B41" s="7">
        <f t="shared" si="0"/>
        <v>3456</v>
      </c>
      <c r="C41" s="7">
        <f>C40+RANDBETWEEN(250,500)</f>
        <v>18021</v>
      </c>
      <c r="D41" s="7"/>
      <c r="E41" s="8">
        <f>SUM(B41:D41)</f>
        <v>21477</v>
      </c>
      <c r="F41" s="7"/>
      <c r="G41" s="7"/>
      <c r="H41" s="7"/>
      <c r="I41" s="7">
        <v>21987</v>
      </c>
      <c r="J41" s="7">
        <v>8100</v>
      </c>
      <c r="K41" s="7">
        <f>K40*1.015</f>
        <v>3855.10195</v>
      </c>
      <c r="L41" s="7">
        <f>L40+132</f>
        <v>4509</v>
      </c>
      <c r="M41" s="9">
        <f>SUM(I41:L41)</f>
        <v>38451.10195</v>
      </c>
      <c r="N41" s="7">
        <v>132</v>
      </c>
      <c r="O41" s="7">
        <f t="shared" si="592"/>
        <v>1679</v>
      </c>
      <c r="P41" s="7">
        <f>C41-C40</f>
        <v>445</v>
      </c>
      <c r="Q41" s="8">
        <f>SUM(N41:P41)</f>
        <v>2256</v>
      </c>
      <c r="R41" s="8">
        <f>R40+Q41</f>
        <v>51281</v>
      </c>
      <c r="S41" t="s" s="10">
        <v>26</v>
      </c>
      <c r="T41" t="s" s="10">
        <v>26</v>
      </c>
      <c r="U41" s="7">
        <f>U40-89</f>
        <v>14825</v>
      </c>
      <c r="V41" t="s" s="10">
        <v>26</v>
      </c>
      <c r="W41" s="6">
        <f>DATE(2020,3,28)</f>
        <v>43918</v>
      </c>
      <c r="X41" s="9">
        <f>-SUM(S41:V41)</f>
        <v>-14825</v>
      </c>
      <c r="Y41" s="9">
        <f>SUM(E41,H41,M41)</f>
        <v>59928.10195</v>
      </c>
      <c r="Z41" s="11">
        <f>X41+Y41</f>
        <v>45103.10195</v>
      </c>
    </row>
    <row r="42" ht="12.75" customHeight="1">
      <c r="A42" s="12">
        <v>43922</v>
      </c>
      <c r="B42" s="13">
        <f t="shared" si="0"/>
        <v>803</v>
      </c>
      <c r="C42" s="13">
        <f>C41+RANDBETWEEN(250,500)</f>
        <v>18438</v>
      </c>
      <c r="D42" s="13"/>
      <c r="E42" s="14">
        <f>SUM(B42:D42)</f>
        <v>19241</v>
      </c>
      <c r="F42" s="13"/>
      <c r="G42" s="13"/>
      <c r="H42" s="13"/>
      <c r="I42" s="13">
        <v>23142</v>
      </c>
      <c r="J42" s="13">
        <v>7922</v>
      </c>
      <c r="K42" s="13">
        <f>K41*1.015</f>
        <v>3912.92847925</v>
      </c>
      <c r="L42" s="13">
        <f>L41+132</f>
        <v>4641</v>
      </c>
      <c r="M42" s="15">
        <f>SUM(I42:L42)</f>
        <v>39617.92847925</v>
      </c>
      <c r="N42" s="13">
        <v>132</v>
      </c>
      <c r="O42" s="13">
        <f t="shared" si="592"/>
        <v>1265</v>
      </c>
      <c r="P42" s="13">
        <f>C42-C41</f>
        <v>417</v>
      </c>
      <c r="Q42" s="14">
        <f>SUM(N42:P42)</f>
        <v>1814</v>
      </c>
      <c r="R42" s="14">
        <f>R41+Q42</f>
        <v>53095</v>
      </c>
      <c r="S42" t="s" s="5">
        <v>26</v>
      </c>
      <c r="T42" t="s" s="5">
        <v>26</v>
      </c>
      <c r="U42" s="13">
        <f>U41-89</f>
        <v>14736</v>
      </c>
      <c r="V42" t="s" s="5">
        <v>26</v>
      </c>
      <c r="W42" s="12">
        <f>DATE(2020,4,28)</f>
        <v>43949</v>
      </c>
      <c r="X42" s="15">
        <f>-SUM(S42:V42)</f>
        <v>-14736</v>
      </c>
      <c r="Y42" s="15">
        <f>SUM(E42,H42,M42)</f>
        <v>58858.92847925</v>
      </c>
      <c r="Z42" s="16">
        <f>X42+Y42</f>
        <v>44122.92847925</v>
      </c>
    </row>
    <row r="43" ht="12.75" customHeight="1">
      <c r="A43" s="6">
        <v>43952</v>
      </c>
      <c r="B43" s="7">
        <f t="shared" si="0"/>
        <v>2764</v>
      </c>
      <c r="C43" s="7">
        <f>C42+RANDBETWEEN(250,500)</f>
        <v>18874</v>
      </c>
      <c r="D43" s="7"/>
      <c r="E43" s="8">
        <f>SUM(B43:D43)</f>
        <v>21638</v>
      </c>
      <c r="F43" s="7"/>
      <c r="G43" s="7"/>
      <c r="H43" s="7"/>
      <c r="I43" s="7">
        <v>23121</v>
      </c>
      <c r="J43" s="7">
        <v>8211</v>
      </c>
      <c r="K43" s="7">
        <f>K42*1.015</f>
        <v>3971.622406438750</v>
      </c>
      <c r="L43" s="7">
        <f>L42+132</f>
        <v>4773</v>
      </c>
      <c r="M43" s="9">
        <f>SUM(I43:L43)</f>
        <v>40076.6224064388</v>
      </c>
      <c r="N43" s="7">
        <v>132</v>
      </c>
      <c r="O43" s="7">
        <f t="shared" si="592"/>
        <v>1298</v>
      </c>
      <c r="P43" s="7">
        <f>C43-C42</f>
        <v>436</v>
      </c>
      <c r="Q43" s="8">
        <f>SUM(N43:P43)</f>
        <v>1866</v>
      </c>
      <c r="R43" s="8">
        <f>R42+Q43</f>
        <v>54961</v>
      </c>
      <c r="S43" t="s" s="10">
        <v>26</v>
      </c>
      <c r="T43" t="s" s="10">
        <v>26</v>
      </c>
      <c r="U43" s="7">
        <f>U42-89</f>
        <v>14647</v>
      </c>
      <c r="V43" t="s" s="10">
        <v>26</v>
      </c>
      <c r="W43" s="6">
        <f>DATE(2020,5,28)</f>
        <v>43979</v>
      </c>
      <c r="X43" s="9">
        <f>-SUM(S43:V43)</f>
        <v>-14647</v>
      </c>
      <c r="Y43" s="9">
        <f>SUM(E43,H43,M43)</f>
        <v>61714.6224064388</v>
      </c>
      <c r="Z43" s="11">
        <f>X43+Y43</f>
        <v>47067.6224064388</v>
      </c>
    </row>
    <row r="44" ht="12.75" customHeight="1">
      <c r="A44" s="12">
        <v>43983</v>
      </c>
      <c r="B44" s="13">
        <f t="shared" si="0"/>
        <v>4819</v>
      </c>
      <c r="C44" s="13">
        <f>C43+RANDBETWEEN(250,500)</f>
        <v>19281</v>
      </c>
      <c r="D44" s="13"/>
      <c r="E44" s="14">
        <f>SUM(B44:D44)</f>
        <v>24100</v>
      </c>
      <c r="F44" s="13"/>
      <c r="G44" s="13"/>
      <c r="H44" s="13"/>
      <c r="I44" s="13">
        <v>24100</v>
      </c>
      <c r="J44" s="13">
        <v>8311</v>
      </c>
      <c r="K44" s="13">
        <f>K43*1.015</f>
        <v>4031.196742535330</v>
      </c>
      <c r="L44" s="13">
        <f>L43+132</f>
        <v>4905</v>
      </c>
      <c r="M44" s="15">
        <f>SUM(I44:L44)</f>
        <v>41347.1967425353</v>
      </c>
      <c r="N44" s="13">
        <v>132</v>
      </c>
      <c r="O44" s="13">
        <f t="shared" si="592"/>
        <v>1455</v>
      </c>
      <c r="P44" s="13">
        <f>C44-C43</f>
        <v>407</v>
      </c>
      <c r="Q44" s="14">
        <f>SUM(N44:P44)</f>
        <v>1994</v>
      </c>
      <c r="R44" s="14">
        <f>R43+Q44</f>
        <v>56955</v>
      </c>
      <c r="S44" s="13"/>
      <c r="T44" s="13"/>
      <c r="U44" s="13">
        <f>U43-89</f>
        <v>14558</v>
      </c>
      <c r="V44" s="13"/>
      <c r="W44" s="12">
        <f>DATE(2020,6,28)</f>
        <v>44010</v>
      </c>
      <c r="X44" s="15">
        <f>-SUM(S44:V44)</f>
        <v>-14558</v>
      </c>
      <c r="Y44" s="15">
        <f>SUM(E44,H44,M44)</f>
        <v>65447.1967425353</v>
      </c>
      <c r="Z44" s="16">
        <f>X44+Y44</f>
        <v>50889.1967425353</v>
      </c>
    </row>
    <row r="45" ht="12.75" customHeight="1">
      <c r="A45" s="6">
        <v>44013</v>
      </c>
      <c r="B45" s="7">
        <f t="shared" si="0"/>
        <v>3247</v>
      </c>
      <c r="C45" s="7">
        <f>C44+RANDBETWEEN(250,500)</f>
        <v>19654</v>
      </c>
      <c r="D45" s="7"/>
      <c r="E45" s="8">
        <f>SUM(B45:D45)</f>
        <v>22901</v>
      </c>
      <c r="F45" s="7"/>
      <c r="G45" s="7"/>
      <c r="H45" s="7"/>
      <c r="I45" s="7">
        <v>24533</v>
      </c>
      <c r="J45" s="7">
        <v>8932</v>
      </c>
      <c r="K45" s="7">
        <f>K44*1.015</f>
        <v>4091.664693673360</v>
      </c>
      <c r="L45" s="7">
        <f>L44+132</f>
        <v>5037</v>
      </c>
      <c r="M45" s="9">
        <f>SUM(I45:L45)</f>
        <v>42593.6646936734</v>
      </c>
      <c r="N45" s="7">
        <v>132</v>
      </c>
      <c r="O45" s="7">
        <f t="shared" si="592"/>
        <v>1140</v>
      </c>
      <c r="P45" s="7">
        <f>C45-C44</f>
        <v>373</v>
      </c>
      <c r="Q45" s="8">
        <f>SUM(N45:P45)</f>
        <v>1645</v>
      </c>
      <c r="R45" s="8">
        <f>R44+Q45</f>
        <v>58600</v>
      </c>
      <c r="S45" s="7"/>
      <c r="T45" s="7"/>
      <c r="U45" s="7">
        <f>U44-89</f>
        <v>14469</v>
      </c>
      <c r="V45" s="7"/>
      <c r="W45" s="6">
        <f>DATE(2020,7,28)</f>
        <v>44040</v>
      </c>
      <c r="X45" s="9">
        <f>-SUM(S45:V45)</f>
        <v>-14469</v>
      </c>
      <c r="Y45" s="9">
        <f>SUM(E45,H45,M45)</f>
        <v>65494.6646936734</v>
      </c>
      <c r="Z45" s="11">
        <f>X45+Y45</f>
        <v>51025.6646936734</v>
      </c>
    </row>
    <row r="46" ht="12.75" customHeight="1">
      <c r="A46" s="12">
        <v>44044</v>
      </c>
      <c r="B46" s="13">
        <f t="shared" si="0"/>
        <v>175</v>
      </c>
      <c r="C46" s="13">
        <f>C45+RANDBETWEEN(250,500)</f>
        <v>19976</v>
      </c>
      <c r="D46" s="13"/>
      <c r="E46" s="14">
        <f>SUM(B46:D46)</f>
        <v>20151</v>
      </c>
      <c r="F46" s="13"/>
      <c r="G46" s="13"/>
      <c r="H46" s="13"/>
      <c r="I46" s="13">
        <v>25100</v>
      </c>
      <c r="J46" s="13">
        <v>8765</v>
      </c>
      <c r="K46" s="13">
        <f>K45*1.015</f>
        <v>4153.039664078460</v>
      </c>
      <c r="L46" s="13">
        <f>L45+132</f>
        <v>5169</v>
      </c>
      <c r="M46" s="15">
        <f>SUM(I46:L46)</f>
        <v>43187.0396640785</v>
      </c>
      <c r="N46" s="13">
        <v>132</v>
      </c>
      <c r="O46" s="13">
        <f t="shared" si="592"/>
        <v>1741</v>
      </c>
      <c r="P46" s="13">
        <f>C46-C45</f>
        <v>322</v>
      </c>
      <c r="Q46" s="14">
        <f>SUM(N46:P46)</f>
        <v>2195</v>
      </c>
      <c r="R46" s="14">
        <f>R45+Q46</f>
        <v>60795</v>
      </c>
      <c r="S46" s="13"/>
      <c r="T46" s="13"/>
      <c r="U46" s="13">
        <f>U45-89</f>
        <v>14380</v>
      </c>
      <c r="V46" s="13"/>
      <c r="W46" s="12">
        <f>DATE(2020,8,28)</f>
        <v>44071</v>
      </c>
      <c r="X46" s="15">
        <f>-SUM(S46:V46)</f>
        <v>-14380</v>
      </c>
      <c r="Y46" s="15">
        <f>SUM(E46,H46,M46)</f>
        <v>63338.0396640785</v>
      </c>
      <c r="Z46" s="16">
        <f>X46+Y46</f>
        <v>48958.0396640785</v>
      </c>
    </row>
    <row r="47" ht="12.75" customHeight="1">
      <c r="A47" s="6">
        <v>44075</v>
      </c>
      <c r="B47" s="7">
        <f t="shared" si="0"/>
        <v>3028</v>
      </c>
      <c r="C47" s="7">
        <f>C46+RANDBETWEEN(250,500)</f>
        <v>20264</v>
      </c>
      <c r="D47" s="7"/>
      <c r="E47" s="8">
        <f>SUM(B47:D47)</f>
        <v>23292</v>
      </c>
      <c r="F47" s="7"/>
      <c r="G47" s="7"/>
      <c r="H47" s="7"/>
      <c r="I47" s="7">
        <v>23988</v>
      </c>
      <c r="J47" s="7">
        <v>8475</v>
      </c>
      <c r="K47" s="7">
        <f>K46*1.015</f>
        <v>4215.335259039640</v>
      </c>
      <c r="L47" s="7">
        <f>L46+132</f>
        <v>5301</v>
      </c>
      <c r="M47" s="9">
        <f>SUM(I47:L47)</f>
        <v>41979.3352590396</v>
      </c>
      <c r="N47" s="7">
        <v>132</v>
      </c>
      <c r="O47" s="7">
        <f t="shared" si="592"/>
        <v>1594</v>
      </c>
      <c r="P47" s="7">
        <f>C47-C46</f>
        <v>288</v>
      </c>
      <c r="Q47" s="8">
        <f>SUM(N47:P47)</f>
        <v>2014</v>
      </c>
      <c r="R47" s="8">
        <f>R46+Q47</f>
        <v>62809</v>
      </c>
      <c r="S47" s="7"/>
      <c r="T47" s="7"/>
      <c r="U47" s="7">
        <f>U46-89</f>
        <v>14291</v>
      </c>
      <c r="V47" s="7"/>
      <c r="W47" s="6">
        <f>DATE(2020,9,28)</f>
        <v>44102</v>
      </c>
      <c r="X47" s="9">
        <f>-SUM(S47:V47)</f>
        <v>-14291</v>
      </c>
      <c r="Y47" s="9">
        <f>SUM(E47,H47,M47)</f>
        <v>65271.3352590396</v>
      </c>
      <c r="Z47" s="11">
        <f>X47+Y47</f>
        <v>50980.3352590396</v>
      </c>
    </row>
    <row r="48" ht="12.75" customHeight="1">
      <c r="A48" s="12">
        <v>44105</v>
      </c>
      <c r="B48" s="13">
        <f t="shared" si="0"/>
        <v>4942</v>
      </c>
      <c r="C48" s="13">
        <f>C47+RANDBETWEEN(250,500)</f>
        <v>20541</v>
      </c>
      <c r="D48" s="13"/>
      <c r="E48" s="14">
        <f>SUM(B48:D48)</f>
        <v>25483</v>
      </c>
      <c r="F48" s="13"/>
      <c r="G48" s="13"/>
      <c r="H48" s="13"/>
      <c r="I48" s="13">
        <v>24533</v>
      </c>
      <c r="J48" s="13">
        <v>8832</v>
      </c>
      <c r="K48" s="13">
        <f>K47*1.015</f>
        <v>4278.565287925230</v>
      </c>
      <c r="L48" s="13">
        <f>L47+132</f>
        <v>5433</v>
      </c>
      <c r="M48" s="15">
        <f>SUM(I48:L48)</f>
        <v>43076.5652879252</v>
      </c>
      <c r="N48" s="13">
        <v>132</v>
      </c>
      <c r="O48" s="13">
        <f t="shared" si="592"/>
        <v>1704</v>
      </c>
      <c r="P48" s="13">
        <f>C48-C47</f>
        <v>277</v>
      </c>
      <c r="Q48" s="14">
        <f>SUM(N48:P48)</f>
        <v>2113</v>
      </c>
      <c r="R48" s="14">
        <f>R47+Q48</f>
        <v>64922</v>
      </c>
      <c r="S48" s="13"/>
      <c r="T48" s="13"/>
      <c r="U48" s="13">
        <f>U47-89</f>
        <v>14202</v>
      </c>
      <c r="V48" s="13"/>
      <c r="W48" s="12">
        <f t="shared" si="732" ref="W48:W50">DATE(2020,10,28)</f>
        <v>44132</v>
      </c>
      <c r="X48" s="15">
        <f>-SUM(S48:V48)</f>
        <v>-14202</v>
      </c>
      <c r="Y48" s="15">
        <f>SUM(E48,H48,M48)</f>
        <v>68559.5652879252</v>
      </c>
      <c r="Z48" s="16">
        <f>X48+Y48</f>
        <v>54357.5652879252</v>
      </c>
    </row>
    <row r="49" ht="12.75" customHeight="1">
      <c r="A49" s="6">
        <v>44136</v>
      </c>
      <c r="B49" s="7">
        <f t="shared" si="0"/>
        <v>1075</v>
      </c>
      <c r="C49" s="7">
        <f>C48+RANDBETWEEN(250,500)</f>
        <v>20835</v>
      </c>
      <c r="D49" s="7"/>
      <c r="E49" s="8">
        <f>SUM(B49:D49)</f>
        <v>21910</v>
      </c>
      <c r="F49" s="7"/>
      <c r="G49" s="7"/>
      <c r="H49" s="7"/>
      <c r="I49" s="7">
        <v>24533</v>
      </c>
      <c r="J49" s="7">
        <v>8832</v>
      </c>
      <c r="K49" s="7">
        <f>K48*1.015</f>
        <v>4342.743767244110</v>
      </c>
      <c r="L49" s="7">
        <f>L48+132</f>
        <v>5565</v>
      </c>
      <c r="M49" s="9">
        <f>SUM(I49:L49)</f>
        <v>43272.7437672441</v>
      </c>
      <c r="N49" s="7">
        <v>132</v>
      </c>
      <c r="O49" s="7">
        <f t="shared" si="592"/>
        <v>1102</v>
      </c>
      <c r="P49" s="7">
        <f>C49-C48</f>
        <v>294</v>
      </c>
      <c r="Q49" s="8">
        <f>SUM(N49:P49)</f>
        <v>1528</v>
      </c>
      <c r="R49" s="8">
        <f>R48+Q49</f>
        <v>66450</v>
      </c>
      <c r="S49" s="7"/>
      <c r="T49" s="7"/>
      <c r="U49" s="7">
        <f>U48-89</f>
        <v>14113</v>
      </c>
      <c r="V49" s="7"/>
      <c r="W49" s="6">
        <f t="shared" si="732"/>
        <v>44132</v>
      </c>
      <c r="X49" s="9">
        <f>-SUM(S49:V49)</f>
        <v>-14113</v>
      </c>
      <c r="Y49" s="9">
        <f>SUM(E49,H49,M49)</f>
        <v>65182.7437672441</v>
      </c>
      <c r="Z49" s="11">
        <f>X49+Y49</f>
        <v>51069.7437672441</v>
      </c>
    </row>
    <row r="50" ht="12.75" customHeight="1">
      <c r="A50" s="12">
        <v>44166</v>
      </c>
      <c r="B50" s="13">
        <f t="shared" si="0"/>
        <v>4882</v>
      </c>
      <c r="C50" s="13">
        <f>C49+RANDBETWEEN(250,500)</f>
        <v>21273</v>
      </c>
      <c r="D50" s="13"/>
      <c r="E50" s="14">
        <f>SUM(B50:D50)</f>
        <v>26155</v>
      </c>
      <c r="F50" s="13"/>
      <c r="G50" s="13"/>
      <c r="H50" s="13"/>
      <c r="I50" s="13">
        <v>24533</v>
      </c>
      <c r="J50" s="13">
        <v>8832</v>
      </c>
      <c r="K50" s="13">
        <f>K49*1.015</f>
        <v>4407.884923752770</v>
      </c>
      <c r="L50" s="13">
        <f>L49+132</f>
        <v>5697</v>
      </c>
      <c r="M50" s="15">
        <f>SUM(I50:L50)</f>
        <v>43469.8849237528</v>
      </c>
      <c r="N50" s="13">
        <v>132</v>
      </c>
      <c r="O50" s="13">
        <f t="shared" si="592"/>
        <v>1070</v>
      </c>
      <c r="P50" s="13">
        <f>C50-C49</f>
        <v>438</v>
      </c>
      <c r="Q50" s="14">
        <f>SUM(N50:P50)</f>
        <v>1640</v>
      </c>
      <c r="R50" s="14">
        <f>R49+Q50</f>
        <v>68090</v>
      </c>
      <c r="S50" s="13"/>
      <c r="T50" s="13"/>
      <c r="U50" s="13">
        <f>U49-89</f>
        <v>14024</v>
      </c>
      <c r="V50" s="13"/>
      <c r="W50" s="12">
        <f t="shared" si="732"/>
        <v>44132</v>
      </c>
      <c r="X50" s="15">
        <f>-SUM(S50:V50)</f>
        <v>-14024</v>
      </c>
      <c r="Y50" s="15">
        <f>SUM(E50,H50,M50)</f>
        <v>69624.8849237528</v>
      </c>
      <c r="Z50" s="16">
        <f>X50+Y50</f>
        <v>55600.8849237528</v>
      </c>
    </row>
    <row r="51" ht="12.75" customHeight="1">
      <c r="A51" s="6">
        <v>44197</v>
      </c>
      <c r="B51" s="7">
        <f t="shared" si="0"/>
        <v>2012</v>
      </c>
      <c r="C51" s="7">
        <f>C50+RANDBETWEEN(250,750)</f>
        <v>21651</v>
      </c>
      <c r="D51" s="7"/>
      <c r="E51" s="8">
        <f>SUM(B51:C51)</f>
        <v>23663</v>
      </c>
      <c r="F51" s="7"/>
      <c r="G51" s="7"/>
      <c r="H51" s="7"/>
      <c r="I51" s="7">
        <f>I50*1.05</f>
        <v>25759.65</v>
      </c>
      <c r="J51" s="7">
        <f>J50*1.03</f>
        <v>9096.959999999999</v>
      </c>
      <c r="K51" s="7">
        <f>K50*1.07</f>
        <v>4716.436868415460</v>
      </c>
      <c r="L51" s="7">
        <f>L50+155</f>
        <v>5852</v>
      </c>
      <c r="M51" s="9">
        <f>SUM(I51:L51)</f>
        <v>45425.0468684155</v>
      </c>
      <c r="N51" s="7">
        <v>155</v>
      </c>
      <c r="O51" s="7">
        <f t="shared" si="774" ref="O51:O62">RANDBETWEEN(1000,2000)</f>
        <v>1005</v>
      </c>
      <c r="P51" s="7">
        <f>C51-C50</f>
        <v>378</v>
      </c>
      <c r="Q51" s="8">
        <f>SUM(N51:P51)</f>
        <v>1538</v>
      </c>
      <c r="R51" s="8">
        <f>R50+Q51</f>
        <v>69628</v>
      </c>
      <c r="S51" s="7"/>
      <c r="T51" s="7"/>
      <c r="U51" s="7">
        <f>U50-83</f>
        <v>13941</v>
      </c>
      <c r="V51" s="7"/>
      <c r="W51" s="6">
        <v>44197</v>
      </c>
      <c r="X51" s="9">
        <f>-SUM(S51:U51)</f>
        <v>-13941</v>
      </c>
      <c r="Y51" s="9">
        <f>SUM(E51,H51,M51)</f>
        <v>69088.046868415506</v>
      </c>
      <c r="Z51" s="11">
        <f>Y51-X51</f>
        <v>83029.046868415506</v>
      </c>
    </row>
    <row r="52" ht="12.75" customHeight="1">
      <c r="A52" s="12">
        <v>44228</v>
      </c>
      <c r="B52" s="13">
        <f t="shared" si="0"/>
        <v>2382</v>
      </c>
      <c r="C52" s="13">
        <f>C51+RANDBETWEEN(250,550)</f>
        <v>21979</v>
      </c>
      <c r="D52" s="13"/>
      <c r="E52" s="14">
        <f>SUM(B52:C52)</f>
        <v>24361</v>
      </c>
      <c r="F52" s="13"/>
      <c r="G52" s="13"/>
      <c r="H52" s="13"/>
      <c r="I52" s="13">
        <f>I51*1.05</f>
        <v>27047.6325</v>
      </c>
      <c r="J52" s="13">
        <f>J51*1.025</f>
        <v>9324.384</v>
      </c>
      <c r="K52" s="13">
        <f>K51*1.07</f>
        <v>5046.587449204540</v>
      </c>
      <c r="L52" s="13">
        <f>L51+155</f>
        <v>6007</v>
      </c>
      <c r="M52" s="15">
        <f>SUM(I52:L52)</f>
        <v>47425.6039492045</v>
      </c>
      <c r="N52" s="13">
        <v>155</v>
      </c>
      <c r="O52" s="13">
        <f t="shared" si="774"/>
        <v>1328</v>
      </c>
      <c r="P52" s="13">
        <f>C52-C51</f>
        <v>328</v>
      </c>
      <c r="Q52" s="14">
        <f>SUM(N52:P52)</f>
        <v>1811</v>
      </c>
      <c r="R52" s="14">
        <f>R51+Q52</f>
        <v>71439</v>
      </c>
      <c r="S52" s="13"/>
      <c r="T52" s="13"/>
      <c r="U52" s="13">
        <f>U51-83</f>
        <v>13858</v>
      </c>
      <c r="V52" s="13"/>
      <c r="W52" s="12">
        <v>44228</v>
      </c>
      <c r="X52" s="15">
        <f>-SUM(S52:U52)</f>
        <v>-13858</v>
      </c>
      <c r="Y52" s="15">
        <f>SUM(E52,H52,M52)</f>
        <v>71786.603949204495</v>
      </c>
      <c r="Z52" s="16">
        <f>Y52-X52</f>
        <v>85644.603949204495</v>
      </c>
    </row>
    <row r="53" ht="12.75" customHeight="1">
      <c r="A53" s="6">
        <v>44256</v>
      </c>
      <c r="B53" s="7">
        <f t="shared" si="0"/>
        <v>1875</v>
      </c>
      <c r="C53" s="7">
        <f>C52+RANDBETWEEN(250,550)</f>
        <v>22375</v>
      </c>
      <c r="D53" s="7"/>
      <c r="E53" s="8">
        <f>SUM(B53:C53)</f>
        <v>24250</v>
      </c>
      <c r="F53" s="7"/>
      <c r="G53" s="7"/>
      <c r="H53" s="7"/>
      <c r="I53" s="7">
        <f>I52*1.05</f>
        <v>28400.014125</v>
      </c>
      <c r="J53" s="7">
        <f>J52*1.025</f>
        <v>9557.4936</v>
      </c>
      <c r="K53" s="7">
        <f>K52*1.07</f>
        <v>5399.848570648860</v>
      </c>
      <c r="L53" s="7">
        <f>L52+155</f>
        <v>6162</v>
      </c>
      <c r="M53" s="9">
        <f>SUM(I53:L53)</f>
        <v>49519.3562956489</v>
      </c>
      <c r="N53" s="7">
        <v>155</v>
      </c>
      <c r="O53" s="7">
        <f t="shared" si="774"/>
        <v>1242</v>
      </c>
      <c r="P53" s="7">
        <f>C53-C52</f>
        <v>396</v>
      </c>
      <c r="Q53" s="8">
        <f>SUM(N53:P53)</f>
        <v>1793</v>
      </c>
      <c r="R53" s="8">
        <f>R52+Q53</f>
        <v>73232</v>
      </c>
      <c r="S53" s="7"/>
      <c r="T53" s="7"/>
      <c r="U53" s="7">
        <f>U52-83</f>
        <v>13775</v>
      </c>
      <c r="V53" s="7"/>
      <c r="W53" s="6">
        <v>44256</v>
      </c>
      <c r="X53" s="9">
        <f>-SUM(S53:U53)</f>
        <v>-13775</v>
      </c>
      <c r="Y53" s="9">
        <f>SUM(E53,H53,M53)</f>
        <v>73769.3562956489</v>
      </c>
      <c r="Z53" s="11">
        <f>Y53-X53</f>
        <v>87544.3562956489</v>
      </c>
    </row>
    <row r="54" ht="12.75" customHeight="1">
      <c r="A54" s="12">
        <v>44287</v>
      </c>
      <c r="B54" s="13">
        <f t="shared" si="0"/>
        <v>3310</v>
      </c>
      <c r="C54" s="13">
        <f>C53+RANDBETWEEN(250,550)</f>
        <v>22628</v>
      </c>
      <c r="D54" s="13"/>
      <c r="E54" s="14">
        <f>SUM(B54:C54)</f>
        <v>25938</v>
      </c>
      <c r="F54" s="13"/>
      <c r="G54" s="13"/>
      <c r="H54" s="13"/>
      <c r="I54" s="13">
        <f>I53*1.05</f>
        <v>29820.01483125</v>
      </c>
      <c r="J54" s="13">
        <f>J53*1.025</f>
        <v>9796.43094</v>
      </c>
      <c r="K54" s="13">
        <f>K53*1.07</f>
        <v>5777.837970594280</v>
      </c>
      <c r="L54" s="13">
        <f>L53+155</f>
        <v>6317</v>
      </c>
      <c r="M54" s="15">
        <f>SUM(I54:L54)</f>
        <v>51711.2837418443</v>
      </c>
      <c r="N54" s="13">
        <v>155</v>
      </c>
      <c r="O54" s="13">
        <f t="shared" si="774"/>
        <v>1409</v>
      </c>
      <c r="P54" s="13">
        <f>C54-C53</f>
        <v>253</v>
      </c>
      <c r="Q54" s="14">
        <f>SUM(N54:P54)</f>
        <v>1817</v>
      </c>
      <c r="R54" s="14">
        <f>R53+Q54</f>
        <v>75049</v>
      </c>
      <c r="S54" s="13"/>
      <c r="T54" s="13"/>
      <c r="U54" s="13">
        <f>U53-83</f>
        <v>13692</v>
      </c>
      <c r="V54" s="13"/>
      <c r="W54" s="12">
        <v>44287</v>
      </c>
      <c r="X54" s="15">
        <f>-SUM(S54:U54)</f>
        <v>-13692</v>
      </c>
      <c r="Y54" s="15">
        <f>SUM(E54,H54,M54)</f>
        <v>77649.283741844294</v>
      </c>
      <c r="Z54" s="16">
        <f>Y54-X54</f>
        <v>91341.283741844294</v>
      </c>
    </row>
    <row r="55" ht="12.75" customHeight="1">
      <c r="A55" s="6">
        <v>44317</v>
      </c>
      <c r="B55" s="7">
        <f t="shared" si="0"/>
        <v>3539</v>
      </c>
      <c r="C55" s="7">
        <f>C54+RANDBETWEEN(250,550)</f>
        <v>22972</v>
      </c>
      <c r="D55" s="7"/>
      <c r="E55" s="8">
        <f>SUM(B55:C55)</f>
        <v>26511</v>
      </c>
      <c r="F55" s="7"/>
      <c r="G55" s="7"/>
      <c r="H55" s="7"/>
      <c r="I55" s="7">
        <f>I54*1.05</f>
        <v>31311.0155728125</v>
      </c>
      <c r="J55" s="7">
        <f>J54*1.025</f>
        <v>10041.3417135</v>
      </c>
      <c r="K55" s="7">
        <f>K54*1.07</f>
        <v>6182.286628535880</v>
      </c>
      <c r="L55" s="7">
        <f>L54+155</f>
        <v>6472</v>
      </c>
      <c r="M55" s="9">
        <f>SUM(I55:L55)</f>
        <v>54006.6439148484</v>
      </c>
      <c r="N55" s="7">
        <v>155</v>
      </c>
      <c r="O55" s="7">
        <f t="shared" si="774"/>
        <v>1289</v>
      </c>
      <c r="P55" s="7">
        <f>C55-C54</f>
        <v>344</v>
      </c>
      <c r="Q55" s="8">
        <f>SUM(N55:P55)</f>
        <v>1788</v>
      </c>
      <c r="R55" s="8">
        <f>R54+Q55</f>
        <v>76837</v>
      </c>
      <c r="S55" s="7"/>
      <c r="T55" s="7"/>
      <c r="U55" s="7">
        <f>U54-83</f>
        <v>13609</v>
      </c>
      <c r="V55" s="7"/>
      <c r="W55" s="6">
        <v>44317</v>
      </c>
      <c r="X55" s="9">
        <f>-SUM(S55:U55)</f>
        <v>-13609</v>
      </c>
      <c r="Y55" s="9">
        <f>SUM(E55,H55,M55)</f>
        <v>80517.643914848406</v>
      </c>
      <c r="Z55" s="11">
        <f>Y55-X55</f>
        <v>94126.643914848406</v>
      </c>
    </row>
    <row r="56" ht="12.75" customHeight="1">
      <c r="A56" s="12">
        <v>44348</v>
      </c>
      <c r="B56" s="13">
        <f t="shared" si="0"/>
        <v>2183</v>
      </c>
      <c r="C56" s="13">
        <f>C55+RANDBETWEEN(250,550)</f>
        <v>23507</v>
      </c>
      <c r="D56" s="13"/>
      <c r="E56" s="14">
        <f>SUM(B56:C56)</f>
        <v>25690</v>
      </c>
      <c r="F56" s="13"/>
      <c r="G56" s="13"/>
      <c r="H56" s="13"/>
      <c r="I56" s="13">
        <f>I55*1.05</f>
        <v>32876.5663514531</v>
      </c>
      <c r="J56" s="13">
        <f>J55*1.025</f>
        <v>10292.3752563375</v>
      </c>
      <c r="K56" s="13">
        <f>K55*1.07</f>
        <v>6615.046692533390</v>
      </c>
      <c r="L56" s="13">
        <f>L55+155</f>
        <v>6627</v>
      </c>
      <c r="M56" s="15">
        <f>SUM(I56:L56)</f>
        <v>56410.988300324</v>
      </c>
      <c r="N56" s="13">
        <v>155</v>
      </c>
      <c r="O56" s="13">
        <f t="shared" si="774"/>
        <v>1906</v>
      </c>
      <c r="P56" s="13">
        <f>C56-C55</f>
        <v>535</v>
      </c>
      <c r="Q56" s="14">
        <f>SUM(N56:P56)</f>
        <v>2596</v>
      </c>
      <c r="R56" s="14">
        <f>R55+Q56</f>
        <v>79433</v>
      </c>
      <c r="S56" s="13"/>
      <c r="T56" s="13"/>
      <c r="U56" s="13">
        <f>U55-83</f>
        <v>13526</v>
      </c>
      <c r="V56" s="13"/>
      <c r="W56" s="12">
        <v>44348</v>
      </c>
      <c r="X56" s="15">
        <f>-SUM(S56:U56)</f>
        <v>-13526</v>
      </c>
      <c r="Y56" s="15">
        <f>SUM(E56,H56,M56)</f>
        <v>82100.988300324</v>
      </c>
      <c r="Z56" s="16">
        <f>Y56-X56</f>
        <v>95626.988300324</v>
      </c>
    </row>
    <row r="57" ht="12.75" customHeight="1">
      <c r="A57" s="6">
        <v>44378</v>
      </c>
      <c r="B57" s="7">
        <f t="shared" si="0"/>
        <v>1120</v>
      </c>
      <c r="C57" s="7">
        <f>C56+RANDBETWEEN(250,550)</f>
        <v>23905</v>
      </c>
      <c r="D57" s="7"/>
      <c r="E57" s="8">
        <f>SUM(B57:C57)</f>
        <v>25025</v>
      </c>
      <c r="F57" s="7"/>
      <c r="G57" s="7"/>
      <c r="H57" s="7"/>
      <c r="I57" s="7">
        <f>I56*1.05</f>
        <v>34520.3946690258</v>
      </c>
      <c r="J57" s="7">
        <f>J56*1.025</f>
        <v>10549.6846377459</v>
      </c>
      <c r="K57" s="7">
        <f>K56*1.07</f>
        <v>7078.099961010730</v>
      </c>
      <c r="L57" s="7">
        <f>L56+155</f>
        <v>6782</v>
      </c>
      <c r="M57" s="9">
        <f>SUM(I57:L57)</f>
        <v>58930.1792677824</v>
      </c>
      <c r="N57" s="7">
        <v>155</v>
      </c>
      <c r="O57" s="7">
        <f t="shared" si="774"/>
        <v>1846</v>
      </c>
      <c r="P57" s="7">
        <f>C57-C56</f>
        <v>398</v>
      </c>
      <c r="Q57" s="8">
        <f>SUM(N57:P57)</f>
        <v>2399</v>
      </c>
      <c r="R57" s="8">
        <f>R56+Q57</f>
        <v>81832</v>
      </c>
      <c r="S57" s="7"/>
      <c r="T57" s="7"/>
      <c r="U57" s="7">
        <f>U56-83</f>
        <v>13443</v>
      </c>
      <c r="V57" s="7"/>
      <c r="W57" s="6">
        <v>44378</v>
      </c>
      <c r="X57" s="9">
        <f>-SUM(S57:U57)</f>
        <v>-13443</v>
      </c>
      <c r="Y57" s="9">
        <f>SUM(E57,H57,M57)</f>
        <v>83955.1792677824</v>
      </c>
      <c r="Z57" s="11">
        <f>Y57-X57</f>
        <v>97398.1792677824</v>
      </c>
    </row>
    <row r="58" ht="12.75" customHeight="1">
      <c r="A58" s="12">
        <v>44409</v>
      </c>
      <c r="B58" s="13">
        <f t="shared" si="0"/>
        <v>1923</v>
      </c>
      <c r="C58" s="13">
        <f>C57+RANDBETWEEN(250,550)</f>
        <v>24223</v>
      </c>
      <c r="D58" s="13"/>
      <c r="E58" s="14">
        <f>SUM(B58:C58)</f>
        <v>26146</v>
      </c>
      <c r="F58" s="13"/>
      <c r="G58" s="13"/>
      <c r="H58" s="13"/>
      <c r="I58" s="13">
        <f>I57*1.05</f>
        <v>36246.4144024771</v>
      </c>
      <c r="J58" s="13">
        <f>J57*1.025</f>
        <v>10813.4267536895</v>
      </c>
      <c r="K58" s="13">
        <f>K57*1.07</f>
        <v>7573.566958281480</v>
      </c>
      <c r="L58" s="13">
        <f>L57+155</f>
        <v>6937</v>
      </c>
      <c r="M58" s="15">
        <f>SUM(I58:L58)</f>
        <v>61570.4081144481</v>
      </c>
      <c r="N58" s="13">
        <v>155</v>
      </c>
      <c r="O58" s="13">
        <f t="shared" si="774"/>
        <v>1840</v>
      </c>
      <c r="P58" s="13">
        <f>C58-C57</f>
        <v>318</v>
      </c>
      <c r="Q58" s="14">
        <f>SUM(N58:P58)</f>
        <v>2313</v>
      </c>
      <c r="R58" s="14">
        <f>R57+Q58</f>
        <v>84145</v>
      </c>
      <c r="S58" s="13"/>
      <c r="T58" s="13"/>
      <c r="U58" s="13">
        <f>U57-83</f>
        <v>13360</v>
      </c>
      <c r="V58" s="13"/>
      <c r="W58" s="12">
        <v>44409</v>
      </c>
      <c r="X58" s="15">
        <f>-SUM(S58:U58)</f>
        <v>-13360</v>
      </c>
      <c r="Y58" s="15">
        <f>SUM(E58,H58,M58)</f>
        <v>87716.4081144481</v>
      </c>
      <c r="Z58" s="16">
        <f>Y58-X58</f>
        <v>101076.408114448</v>
      </c>
    </row>
    <row r="59" ht="12.75" customHeight="1">
      <c r="A59" s="6">
        <v>44440</v>
      </c>
      <c r="B59" s="7">
        <f t="shared" si="0"/>
        <v>740</v>
      </c>
      <c r="C59" s="7">
        <f>C58+RANDBETWEEN(250,550)</f>
        <v>24733</v>
      </c>
      <c r="D59" s="7"/>
      <c r="E59" s="8">
        <f>SUM(B59:C59)</f>
        <v>25473</v>
      </c>
      <c r="F59" s="7"/>
      <c r="G59" s="7"/>
      <c r="H59" s="7"/>
      <c r="I59" s="7">
        <f>I58*1.05</f>
        <v>38058.735122601</v>
      </c>
      <c r="J59" s="7">
        <f>J58*1.025</f>
        <v>11083.7624225317</v>
      </c>
      <c r="K59" s="7">
        <f>K58*1.07</f>
        <v>8103.716645361180</v>
      </c>
      <c r="L59" s="7">
        <f>L58+155</f>
        <v>7092</v>
      </c>
      <c r="M59" s="9">
        <f>SUM(I59:L59)</f>
        <v>64338.2141904939</v>
      </c>
      <c r="N59" s="7">
        <v>155</v>
      </c>
      <c r="O59" s="7">
        <f t="shared" si="774"/>
        <v>1738</v>
      </c>
      <c r="P59" s="7">
        <f>C59-C58</f>
        <v>510</v>
      </c>
      <c r="Q59" s="8">
        <f>SUM(N59:P59)</f>
        <v>2403</v>
      </c>
      <c r="R59" s="8">
        <f>R58+Q59</f>
        <v>86548</v>
      </c>
      <c r="S59" s="7"/>
      <c r="T59" s="7"/>
      <c r="U59" s="7">
        <f>U58-83</f>
        <v>13277</v>
      </c>
      <c r="V59" s="7"/>
      <c r="W59" s="6">
        <v>44440</v>
      </c>
      <c r="X59" s="9">
        <f>-SUM(S59:U59)</f>
        <v>-13277</v>
      </c>
      <c r="Y59" s="9">
        <f>SUM(E59,H59,M59)</f>
        <v>89811.214190493905</v>
      </c>
      <c r="Z59" s="11">
        <f>Y59-X59</f>
        <v>103088.214190494</v>
      </c>
    </row>
    <row r="60" ht="12.75" customHeight="1">
      <c r="A60" s="12">
        <v>44470</v>
      </c>
      <c r="B60" s="13">
        <f t="shared" si="0"/>
        <v>4953</v>
      </c>
      <c r="C60" s="13">
        <f>C59+RANDBETWEEN(250,550)</f>
        <v>25198</v>
      </c>
      <c r="D60" s="13"/>
      <c r="E60" s="14">
        <f>SUM(B60:C60)</f>
        <v>30151</v>
      </c>
      <c r="F60" s="13"/>
      <c r="G60" s="13"/>
      <c r="H60" s="13"/>
      <c r="I60" s="13">
        <f>I59*1.05</f>
        <v>39961.6718787311</v>
      </c>
      <c r="J60" s="13">
        <f>J59*1.025</f>
        <v>11360.856483095</v>
      </c>
      <c r="K60" s="13">
        <f>K59*1.07</f>
        <v>8670.976810536460</v>
      </c>
      <c r="L60" s="13">
        <f>L59+155</f>
        <v>7247</v>
      </c>
      <c r="M60" s="15">
        <f>SUM(I60:L60)</f>
        <v>67240.505172362595</v>
      </c>
      <c r="N60" s="13">
        <v>155</v>
      </c>
      <c r="O60" s="13">
        <f t="shared" si="774"/>
        <v>1069</v>
      </c>
      <c r="P60" s="13">
        <f>C60-C59</f>
        <v>465</v>
      </c>
      <c r="Q60" s="14">
        <f>SUM(N60:P60)</f>
        <v>1689</v>
      </c>
      <c r="R60" s="14">
        <f>R59+Q60</f>
        <v>88237</v>
      </c>
      <c r="S60" s="13"/>
      <c r="T60" s="13"/>
      <c r="U60" s="13">
        <f>U59-83</f>
        <v>13194</v>
      </c>
      <c r="V60" s="13"/>
      <c r="W60" s="12">
        <v>44470</v>
      </c>
      <c r="X60" s="15">
        <f>-SUM(S60:U60)</f>
        <v>-13194</v>
      </c>
      <c r="Y60" s="15">
        <f>SUM(E60,H60,M60)</f>
        <v>97391.505172362595</v>
      </c>
      <c r="Z60" s="16">
        <f>Y60-X60</f>
        <v>110585.505172363</v>
      </c>
    </row>
    <row r="61" ht="12.75" customHeight="1">
      <c r="A61" s="6">
        <v>44501</v>
      </c>
      <c r="B61" s="7">
        <f t="shared" si="0"/>
        <v>1826</v>
      </c>
      <c r="C61" s="7">
        <f>C60+RANDBETWEEN(250,550)</f>
        <v>25458</v>
      </c>
      <c r="D61" s="7"/>
      <c r="E61" s="8">
        <f>SUM(B61:C61)</f>
        <v>27284</v>
      </c>
      <c r="F61" s="7"/>
      <c r="G61" s="7"/>
      <c r="H61" s="7"/>
      <c r="I61" s="7">
        <f>I60*1.05</f>
        <v>41959.7554726677</v>
      </c>
      <c r="J61" s="7">
        <f>J60*1.025</f>
        <v>11644.8778951724</v>
      </c>
      <c r="K61" s="7">
        <f>K60*1.07</f>
        <v>9277.945187274010</v>
      </c>
      <c r="L61" s="7">
        <f>L60+155</f>
        <v>7402</v>
      </c>
      <c r="M61" s="9">
        <f>SUM(I61:L61)</f>
        <v>70284.5785551141</v>
      </c>
      <c r="N61" s="7">
        <v>155</v>
      </c>
      <c r="O61" s="7">
        <f t="shared" si="774"/>
        <v>1608</v>
      </c>
      <c r="P61" s="7">
        <f>C61-C60</f>
        <v>260</v>
      </c>
      <c r="Q61" s="8">
        <f>SUM(N61:P61)</f>
        <v>2023</v>
      </c>
      <c r="R61" s="8">
        <f>R60+Q61</f>
        <v>90260</v>
      </c>
      <c r="S61" s="7"/>
      <c r="T61" s="7"/>
      <c r="U61" s="7">
        <f>U60-83</f>
        <v>13111</v>
      </c>
      <c r="V61" s="7"/>
      <c r="W61" s="6">
        <v>44501</v>
      </c>
      <c r="X61" s="9">
        <f>-SUM(S61:U61)</f>
        <v>-13111</v>
      </c>
      <c r="Y61" s="9">
        <f>SUM(E61,H61,M61)</f>
        <v>97568.5785551141</v>
      </c>
      <c r="Z61" s="11">
        <f>Y61-X61</f>
        <v>110679.578555114</v>
      </c>
    </row>
    <row r="62" ht="12.75" customHeight="1">
      <c r="A62" s="12">
        <v>44531</v>
      </c>
      <c r="B62" s="13">
        <f t="shared" si="0"/>
        <v>3310</v>
      </c>
      <c r="C62" s="13">
        <f>C61+RANDBETWEEN(250,550)</f>
        <v>25875</v>
      </c>
      <c r="D62" s="13"/>
      <c r="E62" s="14">
        <f>SUM(B62:C62)</f>
        <v>29185</v>
      </c>
      <c r="F62" s="13"/>
      <c r="G62" s="13"/>
      <c r="H62" s="13"/>
      <c r="I62" s="13">
        <f>I61*1.05</f>
        <v>44057.7432463011</v>
      </c>
      <c r="J62" s="13">
        <f>J61*1.025</f>
        <v>11935.9998425517</v>
      </c>
      <c r="K62" s="13">
        <f>K61*1.07</f>
        <v>9927.401350383190</v>
      </c>
      <c r="L62" s="13">
        <f>L61+155</f>
        <v>7557</v>
      </c>
      <c r="M62" s="15">
        <f>SUM(I62:L62)</f>
        <v>73478.144439236</v>
      </c>
      <c r="N62" s="13">
        <v>155</v>
      </c>
      <c r="O62" s="13">
        <f t="shared" si="774"/>
        <v>1912</v>
      </c>
      <c r="P62" s="13">
        <f>C62-C61</f>
        <v>417</v>
      </c>
      <c r="Q62" s="14">
        <f>SUM(N62:P62)</f>
        <v>2484</v>
      </c>
      <c r="R62" s="14">
        <f>R61+Q62</f>
        <v>92744</v>
      </c>
      <c r="S62" s="13"/>
      <c r="T62" s="13"/>
      <c r="U62" s="13">
        <f>U61-83</f>
        <v>13028</v>
      </c>
      <c r="V62" s="13"/>
      <c r="W62" s="12">
        <v>44531</v>
      </c>
      <c r="X62" s="15">
        <f>-SUM(S62:U62)</f>
        <v>-13028</v>
      </c>
      <c r="Y62" s="15">
        <f>SUM(E62,H62,M62)</f>
        <v>102663.144439236</v>
      </c>
      <c r="Z62" s="16">
        <f>Y62-X62</f>
        <v>115691.144439236</v>
      </c>
    </row>
  </sheetData>
  <mergeCells count="1">
    <mergeCell ref="A1:Z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64"/>
  <sheetViews>
    <sheetView workbookViewId="0" showGridLines="0" defaultGridColor="1">
      <pane topLeftCell="B1" xSplit="1" ySplit="0" activePane="topRight" state="frozen"/>
    </sheetView>
  </sheetViews>
  <sheetFormatPr defaultColWidth="16.3333" defaultRowHeight="19.9" customHeight="1" outlineLevelRow="0" outlineLevelCol="0"/>
  <cols>
    <col min="1" max="3" width="16.3516" style="17" customWidth="1"/>
    <col min="4" max="16384" width="16.3516" style="17" customWidth="1"/>
  </cols>
  <sheetData>
    <row r="1" ht="28.65" customHeight="1">
      <c r="A1" t="s" s="18">
        <v>27</v>
      </c>
      <c r="B1" s="18"/>
      <c r="C1" s="18"/>
    </row>
    <row r="2" ht="23.4" customHeight="1">
      <c r="A2" t="s" s="19">
        <v>28</v>
      </c>
      <c r="B2" t="s" s="20">
        <v>1</v>
      </c>
      <c r="C2" t="s" s="21">
        <v>29</v>
      </c>
    </row>
    <row r="3" ht="20.7" customHeight="1">
      <c r="A3" s="22">
        <f>-'NetWorthOverzicht - De Geldvrie'!O3</f>
        <v>-358</v>
      </c>
      <c r="B3" s="23">
        <v>42736</v>
      </c>
      <c r="C3" s="24"/>
    </row>
    <row r="4" ht="20.7" customHeight="1">
      <c r="A4" s="22">
        <f>-'NetWorthOverzicht - De Geldvrie'!O4</f>
        <v>-300</v>
      </c>
      <c r="B4" s="25">
        <v>42767</v>
      </c>
      <c r="C4" s="26"/>
    </row>
    <row r="5" ht="20.7" customHeight="1">
      <c r="A5" s="22">
        <f>-'NetWorthOverzicht - De Geldvrie'!O5</f>
        <v>-456</v>
      </c>
      <c r="B5" s="23">
        <v>42795</v>
      </c>
      <c r="C5" s="24"/>
    </row>
    <row r="6" ht="20.7" customHeight="1">
      <c r="A6" s="22">
        <f>-'NetWorthOverzicht - De Geldvrie'!O6</f>
        <v>-474</v>
      </c>
      <c r="B6" s="25">
        <v>42826</v>
      </c>
      <c r="C6" s="26"/>
    </row>
    <row r="7" ht="20.7" customHeight="1">
      <c r="A7" s="22">
        <f>-'NetWorthOverzicht - De Geldvrie'!O7</f>
        <v>-271</v>
      </c>
      <c r="B7" s="23">
        <v>42856</v>
      </c>
      <c r="C7" s="24"/>
    </row>
    <row r="8" ht="20.7" customHeight="1">
      <c r="A8" s="22">
        <f>-'NetWorthOverzicht - De Geldvrie'!O8</f>
        <v>-479</v>
      </c>
      <c r="B8" s="25">
        <v>42887</v>
      </c>
      <c r="C8" s="26"/>
    </row>
    <row r="9" ht="20.7" customHeight="1">
      <c r="A9" s="22">
        <f>-'NetWorthOverzicht - De Geldvrie'!O9</f>
        <v>-288</v>
      </c>
      <c r="B9" s="23">
        <v>42917</v>
      </c>
      <c r="C9" s="24"/>
    </row>
    <row r="10" ht="20.7" customHeight="1">
      <c r="A10" s="22">
        <f>-'NetWorthOverzicht - De Geldvrie'!O10</f>
        <v>-375</v>
      </c>
      <c r="B10" s="25">
        <v>42948</v>
      </c>
      <c r="C10" s="26"/>
    </row>
    <row r="11" ht="20.7" customHeight="1">
      <c r="A11" s="22">
        <f>-'NetWorthOverzicht - De Geldvrie'!O11</f>
        <v>-409</v>
      </c>
      <c r="B11" s="23">
        <v>42979</v>
      </c>
      <c r="C11" s="24"/>
    </row>
    <row r="12" ht="20.7" customHeight="1">
      <c r="A12" s="22">
        <f>-'NetWorthOverzicht - De Geldvrie'!O12</f>
        <v>-487</v>
      </c>
      <c r="B12" s="25">
        <v>43009</v>
      </c>
      <c r="C12" s="26"/>
    </row>
    <row r="13" ht="20.7" customHeight="1">
      <c r="A13" s="22">
        <f>-'NetWorthOverzicht - De Geldvrie'!O13</f>
        <v>-276</v>
      </c>
      <c r="B13" s="23">
        <v>43040</v>
      </c>
      <c r="C13" s="24"/>
    </row>
    <row r="14" ht="20.7" customHeight="1">
      <c r="A14" s="22">
        <f>-'NetWorthOverzicht - De Geldvrie'!O14</f>
        <v>-304</v>
      </c>
      <c r="B14" s="25">
        <v>43070</v>
      </c>
      <c r="C14" s="26"/>
    </row>
    <row r="15" ht="20.7" customHeight="1">
      <c r="A15" s="22">
        <f>-'NetWorthOverzicht - De Geldvrie'!O15</f>
        <v>-672</v>
      </c>
      <c r="B15" s="23">
        <v>43101</v>
      </c>
      <c r="C15" s="24"/>
    </row>
    <row r="16" ht="20.7" customHeight="1">
      <c r="A16" s="22">
        <f>-'NetWorthOverzicht - De Geldvrie'!Q16</f>
        <v>-1278</v>
      </c>
      <c r="B16" s="25">
        <v>43132</v>
      </c>
      <c r="C16" s="26"/>
    </row>
    <row r="17" ht="20.7" customHeight="1">
      <c r="A17" s="22">
        <f>-'NetWorthOverzicht - De Geldvrie'!Q17</f>
        <v>-927</v>
      </c>
      <c r="B17" s="23">
        <v>43160</v>
      </c>
      <c r="C17" s="24"/>
    </row>
    <row r="18" ht="20.7" customHeight="1">
      <c r="A18" s="22">
        <f>-'NetWorthOverzicht - De Geldvrie'!Q18</f>
        <v>-1292</v>
      </c>
      <c r="B18" s="25">
        <v>43191</v>
      </c>
      <c r="C18" s="26"/>
    </row>
    <row r="19" ht="20.7" customHeight="1">
      <c r="A19" s="22">
        <f>-'NetWorthOverzicht - De Geldvrie'!Q19</f>
        <v>-947</v>
      </c>
      <c r="B19" s="23">
        <v>43221</v>
      </c>
      <c r="C19" s="24"/>
    </row>
    <row r="20" ht="20.7" customHeight="1">
      <c r="A20" s="22">
        <f>-'NetWorthOverzicht - De Geldvrie'!Q20</f>
        <v>-1324</v>
      </c>
      <c r="B20" s="25">
        <v>43252</v>
      </c>
      <c r="C20" s="26"/>
    </row>
    <row r="21" ht="20.7" customHeight="1">
      <c r="A21" s="22">
        <f>-'NetWorthOverzicht - De Geldvrie'!Q21</f>
        <v>-858</v>
      </c>
      <c r="B21" s="23">
        <v>43282</v>
      </c>
      <c r="C21" s="24"/>
    </row>
    <row r="22" ht="20.7" customHeight="1">
      <c r="A22" s="22">
        <f>-'NetWorthOverzicht - De Geldvrie'!Q22</f>
        <v>-1364</v>
      </c>
      <c r="B22" s="25">
        <v>43313</v>
      </c>
      <c r="C22" s="26"/>
    </row>
    <row r="23" ht="20.7" customHeight="1">
      <c r="A23" s="22">
        <f>-'NetWorthOverzicht - De Geldvrie'!Q23</f>
        <v>-1420</v>
      </c>
      <c r="B23" s="23">
        <v>43344</v>
      </c>
      <c r="C23" s="24"/>
    </row>
    <row r="24" ht="20.7" customHeight="1">
      <c r="A24" s="22">
        <f>-'NetWorthOverzicht - De Geldvrie'!Q24</f>
        <v>-1205</v>
      </c>
      <c r="B24" s="25">
        <v>43374</v>
      </c>
      <c r="C24" s="26"/>
    </row>
    <row r="25" ht="20.7" customHeight="1">
      <c r="A25" s="22">
        <f>-'NetWorthOverzicht - De Geldvrie'!Q25</f>
        <v>-1293</v>
      </c>
      <c r="B25" s="23">
        <v>43405</v>
      </c>
      <c r="C25" s="24"/>
    </row>
    <row r="26" ht="20.7" customHeight="1">
      <c r="A26" s="22">
        <f>-'NetWorthOverzicht - De Geldvrie'!Q26</f>
        <v>-1198</v>
      </c>
      <c r="B26" s="25">
        <v>43435</v>
      </c>
      <c r="C26" s="26"/>
    </row>
    <row r="27" ht="20.7" customHeight="1">
      <c r="A27" s="22">
        <f>-'NetWorthOverzicht - De Geldvrie'!O27</f>
        <v>-1300</v>
      </c>
      <c r="B27" s="23">
        <v>43466</v>
      </c>
      <c r="C27" s="24"/>
    </row>
    <row r="28" ht="20.7" customHeight="1">
      <c r="A28" s="22">
        <f>-'NetWorthOverzicht - De Geldvrie'!O28</f>
        <v>-786</v>
      </c>
      <c r="B28" s="25">
        <v>43497</v>
      </c>
      <c r="C28" s="26"/>
    </row>
    <row r="29" ht="20.7" customHeight="1">
      <c r="A29" s="22">
        <f>-'NetWorthOverzicht - De Geldvrie'!O29</f>
        <v>-1118</v>
      </c>
      <c r="B29" s="23">
        <v>43525</v>
      </c>
      <c r="C29" s="24"/>
    </row>
    <row r="30" ht="20.7" customHeight="1">
      <c r="A30" s="22">
        <f>-'NetWorthOverzicht - De Geldvrie'!O30</f>
        <v>-810</v>
      </c>
      <c r="B30" s="25">
        <v>43556</v>
      </c>
      <c r="C30" s="26"/>
    </row>
    <row r="31" ht="20.7" customHeight="1">
      <c r="A31" s="22">
        <f>-'NetWorthOverzicht - De Geldvrie'!O31</f>
        <v>-1294</v>
      </c>
      <c r="B31" s="23">
        <v>43586</v>
      </c>
      <c r="C31" s="24"/>
    </row>
    <row r="32" ht="20.7" customHeight="1">
      <c r="A32" s="22">
        <f>-'NetWorthOverzicht - De Geldvrie'!O32</f>
        <v>-804</v>
      </c>
      <c r="B32" s="25">
        <v>43617</v>
      </c>
      <c r="C32" s="26"/>
    </row>
    <row r="33" ht="20.7" customHeight="1">
      <c r="A33" s="22">
        <f>-'NetWorthOverzicht - De Geldvrie'!O33</f>
        <v>-956</v>
      </c>
      <c r="B33" s="23">
        <v>43647</v>
      </c>
      <c r="C33" s="24"/>
    </row>
    <row r="34" ht="20.7" customHeight="1">
      <c r="A34" s="22">
        <f>-'NetWorthOverzicht - De Geldvrie'!O34</f>
        <v>-835</v>
      </c>
      <c r="B34" s="25">
        <v>43678</v>
      </c>
      <c r="C34" s="26"/>
    </row>
    <row r="35" ht="20.7" customHeight="1">
      <c r="A35" s="22">
        <f>-'NetWorthOverzicht - De Geldvrie'!O35</f>
        <v>-961</v>
      </c>
      <c r="B35" s="23">
        <v>43709</v>
      </c>
      <c r="C35" s="24"/>
    </row>
    <row r="36" ht="20.7" customHeight="1">
      <c r="A36" s="22">
        <f>-'NetWorthOverzicht - De Geldvrie'!O36</f>
        <v>-1002</v>
      </c>
      <c r="B36" s="25">
        <v>43739</v>
      </c>
      <c r="C36" s="26"/>
    </row>
    <row r="37" ht="20.7" customHeight="1">
      <c r="A37" s="22">
        <f>-'NetWorthOverzicht - De Geldvrie'!O37</f>
        <v>-1000</v>
      </c>
      <c r="B37" s="23">
        <v>43770</v>
      </c>
      <c r="C37" s="24"/>
    </row>
    <row r="38" ht="20.7" customHeight="1">
      <c r="A38" s="22">
        <f>-'NetWorthOverzicht - De Geldvrie'!O38</f>
        <v>-1084</v>
      </c>
      <c r="B38" s="25">
        <v>43800</v>
      </c>
      <c r="C38" s="26"/>
    </row>
    <row r="39" ht="20.7" customHeight="1">
      <c r="A39" s="22">
        <f>-'NetWorthOverzicht - De Geldvrie'!O39</f>
        <v>-1493</v>
      </c>
      <c r="B39" s="23">
        <v>43831</v>
      </c>
      <c r="C39" s="24"/>
    </row>
    <row r="40" ht="20.7" customHeight="1">
      <c r="A40" s="22">
        <f>-'NetWorthOverzicht - De Geldvrie'!O40</f>
        <v>-1362</v>
      </c>
      <c r="B40" s="25">
        <v>43862</v>
      </c>
      <c r="C40" s="26"/>
    </row>
    <row r="41" ht="20.7" customHeight="1">
      <c r="A41" s="22">
        <f>-'NetWorthOverzicht - De Geldvrie'!O41</f>
        <v>-1679</v>
      </c>
      <c r="B41" s="23">
        <v>43891</v>
      </c>
      <c r="C41" s="24"/>
    </row>
    <row r="42" ht="20.7" customHeight="1">
      <c r="A42" s="22">
        <f>-'NetWorthOverzicht - De Geldvrie'!O42</f>
        <v>-1265</v>
      </c>
      <c r="B42" s="25">
        <v>43922</v>
      </c>
      <c r="C42" s="26"/>
    </row>
    <row r="43" ht="20.7" customHeight="1">
      <c r="A43" s="22">
        <f>-'NetWorthOverzicht - De Geldvrie'!O43</f>
        <v>-1298</v>
      </c>
      <c r="B43" s="23">
        <v>43952</v>
      </c>
      <c r="C43" s="24"/>
    </row>
    <row r="44" ht="20.7" customHeight="1">
      <c r="A44" s="22">
        <f>-'NetWorthOverzicht - De Geldvrie'!O44</f>
        <v>-1455</v>
      </c>
      <c r="B44" s="25">
        <v>43983</v>
      </c>
      <c r="C44" s="26"/>
    </row>
    <row r="45" ht="20.7" customHeight="1">
      <c r="A45" s="22">
        <f>-'NetWorthOverzicht - De Geldvrie'!O45</f>
        <v>-1140</v>
      </c>
      <c r="B45" s="23">
        <v>44013</v>
      </c>
      <c r="C45" s="24"/>
    </row>
    <row r="46" ht="20.7" customHeight="1">
      <c r="A46" s="22">
        <f>-'NetWorthOverzicht - De Geldvrie'!O46</f>
        <v>-1741</v>
      </c>
      <c r="B46" s="25">
        <v>44044</v>
      </c>
      <c r="C46" s="26"/>
    </row>
    <row r="47" ht="20.7" customHeight="1">
      <c r="A47" s="22">
        <f>-'NetWorthOverzicht - De Geldvrie'!O47</f>
        <v>-1594</v>
      </c>
      <c r="B47" s="23">
        <v>44075</v>
      </c>
      <c r="C47" s="24"/>
    </row>
    <row r="48" ht="20.7" customHeight="1">
      <c r="A48" s="22">
        <f>-'NetWorthOverzicht - De Geldvrie'!O48</f>
        <v>-1704</v>
      </c>
      <c r="B48" s="25">
        <v>44105</v>
      </c>
      <c r="C48" s="26"/>
    </row>
    <row r="49" ht="20.7" customHeight="1">
      <c r="A49" s="22">
        <f>-'NetWorthOverzicht - De Geldvrie'!O49</f>
        <v>-1102</v>
      </c>
      <c r="B49" s="23">
        <v>44136</v>
      </c>
      <c r="C49" s="24"/>
    </row>
    <row r="50" ht="20.7" customHeight="1">
      <c r="A50" s="22">
        <f>-'NetWorthOverzicht - De Geldvrie'!O50</f>
        <v>-1070</v>
      </c>
      <c r="B50" s="25">
        <v>44166</v>
      </c>
      <c r="C50" s="26"/>
    </row>
    <row r="51" ht="20.7" customHeight="1">
      <c r="A51" s="22">
        <f>-'NetWorthOverzicht - De Geldvrie'!O51</f>
        <v>-1005</v>
      </c>
      <c r="B51" s="23">
        <v>44197</v>
      </c>
      <c r="C51" s="24"/>
    </row>
    <row r="52" ht="20.7" customHeight="1">
      <c r="A52" s="22">
        <f>-'NetWorthOverzicht - De Geldvrie'!O52</f>
        <v>-1328</v>
      </c>
      <c r="B52" s="25">
        <v>44228</v>
      </c>
      <c r="C52" s="26"/>
    </row>
    <row r="53" ht="20.7" customHeight="1">
      <c r="A53" s="22">
        <f>-'NetWorthOverzicht - De Geldvrie'!O53</f>
        <v>-1242</v>
      </c>
      <c r="B53" s="23">
        <v>44256</v>
      </c>
      <c r="C53" s="24"/>
    </row>
    <row r="54" ht="20.7" customHeight="1">
      <c r="A54" s="22">
        <f>-'NetWorthOverzicht - De Geldvrie'!O54</f>
        <v>-1409</v>
      </c>
      <c r="B54" s="25">
        <v>44287</v>
      </c>
      <c r="C54" s="26"/>
    </row>
    <row r="55" ht="20.7" customHeight="1">
      <c r="A55" s="22">
        <f>-'NetWorthOverzicht - De Geldvrie'!O55</f>
        <v>-1289</v>
      </c>
      <c r="B55" s="23">
        <v>44317</v>
      </c>
      <c r="C55" s="24"/>
    </row>
    <row r="56" ht="20.7" customHeight="1">
      <c r="A56" s="22">
        <f>-'NetWorthOverzicht - De Geldvrie'!O56</f>
        <v>-1906</v>
      </c>
      <c r="B56" s="25">
        <v>44348</v>
      </c>
      <c r="C56" s="26"/>
    </row>
    <row r="57" ht="20.7" customHeight="1">
      <c r="A57" s="22">
        <f>-'NetWorthOverzicht - De Geldvrie'!O57</f>
        <v>-1846</v>
      </c>
      <c r="B57" s="23">
        <v>44378</v>
      </c>
      <c r="C57" s="24"/>
    </row>
    <row r="58" ht="20.7" customHeight="1">
      <c r="A58" s="22">
        <f>-'NetWorthOverzicht - De Geldvrie'!O58</f>
        <v>-1840</v>
      </c>
      <c r="B58" s="25">
        <v>44409</v>
      </c>
      <c r="C58" s="26"/>
    </row>
    <row r="59" ht="20.7" customHeight="1">
      <c r="A59" s="27">
        <f>-'NetWorthOverzicht - De Geldvrie'!O59</f>
        <v>-1738</v>
      </c>
      <c r="B59" s="28">
        <v>44440</v>
      </c>
      <c r="C59" s="24"/>
    </row>
    <row r="60" ht="20.7" customHeight="1">
      <c r="A60" s="22">
        <f>-'NetWorthOverzicht - De Geldvrie'!O60</f>
        <v>-1069</v>
      </c>
      <c r="B60" s="29">
        <v>44470</v>
      </c>
      <c r="C60" s="30"/>
    </row>
    <row r="61" ht="20.7" customHeight="1">
      <c r="A61" s="22">
        <f>-'NetWorthOverzicht - De Geldvrie'!O61</f>
        <v>-1608</v>
      </c>
      <c r="B61" s="31">
        <v>44501</v>
      </c>
      <c r="C61" s="32"/>
    </row>
    <row r="62" ht="20.7" customHeight="1">
      <c r="A62" s="22">
        <f>-'NetWorthOverzicht - De Geldvrie'!O62</f>
        <v>-1912</v>
      </c>
      <c r="B62" s="29">
        <v>44531</v>
      </c>
      <c r="C62" s="30"/>
    </row>
    <row r="63" ht="20.45" customHeight="1">
      <c r="A63" s="33">
        <f>'NetWorthOverzicht - De Geldvrie'!M62</f>
        <v>73478.144439236</v>
      </c>
      <c r="B63" s="34">
        <v>44561</v>
      </c>
      <c r="C63" s="32"/>
    </row>
    <row r="64" ht="59" customHeight="1">
      <c r="A64" t="s" s="35">
        <v>30</v>
      </c>
      <c r="B64" s="36">
        <f>ROUND(XIRR($A3:$A63,B3:B63),4)</f>
        <v>0.0574</v>
      </c>
      <c r="C64" s="37"/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  <legacyDrawing r:id="r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workbookViewId="0" showGridLines="0" defaultGridColor="1"/>
  </sheetViews>
  <sheetFormatPr defaultColWidth="10" defaultRowHeight="13" customHeight="1" outlineLevelRow="0" outlineLevelCol="0"/>
  <cols>
    <col min="1" max="16384" width="10" customWidth="1"/>
  </cols>
  <sheetData/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